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nn\Documents\TC\P4\"/>
    </mc:Choice>
  </mc:AlternateContent>
  <xr:revisionPtr revIDLastSave="0" documentId="13_ncr:1_{EAE48A57-0767-4F03-BF3B-5371EFE11763}" xr6:coauthVersionLast="47" xr6:coauthVersionMax="47" xr10:uidLastSave="{00000000-0000-0000-0000-000000000000}"/>
  <bookViews>
    <workbookView xWindow="-120" yWindow="-120" windowWidth="20730" windowHeight="11160" activeTab="2" xr2:uid="{8521290C-244C-456A-899E-D57B403599A1}"/>
  </bookViews>
  <sheets>
    <sheet name="Immobilisations" sheetId="3" r:id="rId1"/>
    <sheet name="Financement" sheetId="4" r:id="rId2"/>
    <sheet name="Ventes" sheetId="5" r:id="rId3"/>
    <sheet name="Charges" sheetId="2" r:id="rId4"/>
    <sheet name="Compte de résultat" sheetId="1" r:id="rId5"/>
    <sheet name="Bilan prévisionelle" sheetId="6" r:id="rId6"/>
    <sheet name="Tableau trésoreri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C23" i="7"/>
  <c r="D21" i="7"/>
  <c r="E21" i="7"/>
  <c r="F21" i="7"/>
  <c r="G21" i="7"/>
  <c r="H21" i="7"/>
  <c r="I21" i="7"/>
  <c r="J21" i="7"/>
  <c r="K21" i="7"/>
  <c r="L21" i="7"/>
  <c r="M21" i="7"/>
  <c r="N21" i="7"/>
  <c r="C21" i="7"/>
  <c r="C20" i="7"/>
  <c r="C12" i="7"/>
  <c r="F35" i="6"/>
  <c r="D48" i="6"/>
  <c r="E19" i="6"/>
  <c r="F19" i="6"/>
  <c r="D19" i="6"/>
  <c r="E19" i="1"/>
  <c r="F19" i="1"/>
  <c r="D19" i="1"/>
  <c r="E3" i="2"/>
  <c r="D3" i="2"/>
  <c r="C3" i="2"/>
  <c r="E11" i="2"/>
  <c r="D11" i="2"/>
  <c r="C11" i="2"/>
  <c r="C29" i="3"/>
  <c r="D29" i="3"/>
  <c r="E29" i="3"/>
  <c r="F18" i="1"/>
  <c r="D18" i="1"/>
  <c r="D44" i="2"/>
  <c r="C41" i="2"/>
  <c r="D41" i="2" s="1"/>
  <c r="E41" i="2" s="1"/>
  <c r="C40" i="2"/>
  <c r="D40" i="2" s="1"/>
  <c r="E40" i="2" s="1"/>
  <c r="C39" i="2"/>
  <c r="D39" i="2" s="1"/>
  <c r="E39" i="2" s="1"/>
  <c r="E45" i="2" s="1"/>
  <c r="C38" i="2"/>
  <c r="D38" i="2" s="1"/>
  <c r="E38" i="2" s="1"/>
  <c r="C37" i="2"/>
  <c r="D37" i="2" s="1"/>
  <c r="E37" i="2" s="1"/>
  <c r="E44" i="2" s="1"/>
  <c r="C36" i="2"/>
  <c r="D36" i="2" s="1"/>
  <c r="E36" i="2" s="1"/>
  <c r="C35" i="2"/>
  <c r="D35" i="2" s="1"/>
  <c r="E35" i="2" s="1"/>
  <c r="C34" i="2"/>
  <c r="D34" i="2" s="1"/>
  <c r="E34" i="2" s="1"/>
  <c r="C33" i="2"/>
  <c r="D33" i="2" s="1"/>
  <c r="E33" i="2" s="1"/>
  <c r="C32" i="2"/>
  <c r="D32" i="2" s="1"/>
  <c r="D43" i="2" s="1"/>
  <c r="C6" i="2"/>
  <c r="J10" i="2"/>
  <c r="C10" i="2" s="1"/>
  <c r="D10" i="2" s="1"/>
  <c r="E10" i="2" s="1"/>
  <c r="D18" i="5"/>
  <c r="E18" i="5" s="1"/>
  <c r="C17" i="5"/>
  <c r="D17" i="5" s="1"/>
  <c r="E17" i="5" s="1"/>
  <c r="D15" i="5"/>
  <c r="E15" i="5" s="1"/>
  <c r="C14" i="5"/>
  <c r="D14" i="5" s="1"/>
  <c r="E14" i="5" s="1"/>
  <c r="D45" i="2" l="1"/>
  <c r="C45" i="2"/>
  <c r="E18" i="1"/>
  <c r="C44" i="2"/>
  <c r="C43" i="2"/>
  <c r="D42" i="2"/>
  <c r="D31" i="2"/>
  <c r="D49" i="2" s="1"/>
  <c r="C31" i="2"/>
  <c r="C49" i="2" s="1"/>
  <c r="E32" i="2"/>
  <c r="C42" i="2" l="1"/>
  <c r="E31" i="2"/>
  <c r="E49" i="2" s="1"/>
  <c r="E43" i="2"/>
  <c r="E42" i="2" s="1"/>
  <c r="D6" i="1" l="1"/>
  <c r="D27" i="6" s="1"/>
  <c r="C10" i="4"/>
  <c r="D23" i="7"/>
  <c r="E23" i="7"/>
  <c r="F23" i="7"/>
  <c r="G23" i="7"/>
  <c r="H23" i="7"/>
  <c r="I23" i="7"/>
  <c r="J23" i="7"/>
  <c r="K23" i="7"/>
  <c r="L23" i="7"/>
  <c r="M23" i="7"/>
  <c r="N23" i="7"/>
  <c r="F45" i="6"/>
  <c r="F48" i="6" s="1"/>
  <c r="E45" i="6"/>
  <c r="E48" i="6" s="1"/>
  <c r="D16" i="6"/>
  <c r="D15" i="6"/>
  <c r="D17" i="6"/>
  <c r="D14" i="6"/>
  <c r="D9" i="6"/>
  <c r="D10" i="6"/>
  <c r="D11" i="6"/>
  <c r="D8" i="6"/>
  <c r="C52" i="2"/>
  <c r="C55" i="2" s="1"/>
  <c r="D14" i="1"/>
  <c r="D13" i="1"/>
  <c r="D16" i="1"/>
  <c r="D17" i="1"/>
  <c r="C4" i="2"/>
  <c r="D4" i="2" s="1"/>
  <c r="E4" i="2" s="1"/>
  <c r="F12" i="1" s="1"/>
  <c r="E27" i="2"/>
  <c r="D27" i="2"/>
  <c r="C27" i="2"/>
  <c r="C26" i="2"/>
  <c r="D26" i="2" s="1"/>
  <c r="C24" i="2"/>
  <c r="C19" i="2" s="1"/>
  <c r="D30" i="3"/>
  <c r="E30" i="3"/>
  <c r="C30" i="3"/>
  <c r="C47" i="3" s="1"/>
  <c r="D16" i="2"/>
  <c r="E16" i="2" s="1"/>
  <c r="D17" i="2"/>
  <c r="E17" i="2" s="1"/>
  <c r="D18" i="2"/>
  <c r="E18" i="2" s="1"/>
  <c r="D15" i="2"/>
  <c r="E15" i="2" s="1"/>
  <c r="C14" i="2"/>
  <c r="G17" i="7" s="1"/>
  <c r="D54" i="2"/>
  <c r="E54" i="2" s="1"/>
  <c r="D53" i="2"/>
  <c r="E53" i="2" s="1"/>
  <c r="C7" i="3"/>
  <c r="C13" i="7" s="1"/>
  <c r="D8" i="2"/>
  <c r="E8" i="2" s="1"/>
  <c r="F16" i="1" s="1"/>
  <c r="D9" i="2"/>
  <c r="C7" i="2"/>
  <c r="D7" i="2" s="1"/>
  <c r="E7" i="2" s="1"/>
  <c r="F15" i="1" s="1"/>
  <c r="D5" i="2"/>
  <c r="E5" i="2" s="1"/>
  <c r="F13" i="1" s="1"/>
  <c r="C13" i="3"/>
  <c r="D36" i="3"/>
  <c r="E36" i="3"/>
  <c r="D35" i="3"/>
  <c r="E35" i="3"/>
  <c r="D34" i="3"/>
  <c r="E34" i="3"/>
  <c r="D33" i="3"/>
  <c r="E33" i="3"/>
  <c r="C36" i="3"/>
  <c r="C53" i="3" s="1"/>
  <c r="C35" i="3"/>
  <c r="C52" i="3" s="1"/>
  <c r="C34" i="3"/>
  <c r="C51" i="3" s="1"/>
  <c r="C33" i="3"/>
  <c r="C50" i="3" s="1"/>
  <c r="D46" i="3"/>
  <c r="E17" i="6" s="1"/>
  <c r="D28" i="3"/>
  <c r="E28" i="3"/>
  <c r="C28" i="3"/>
  <c r="C27" i="3"/>
  <c r="D27" i="3"/>
  <c r="E27" i="3"/>
  <c r="E21" i="3"/>
  <c r="D21" i="3"/>
  <c r="D10" i="4" l="1"/>
  <c r="L16" i="7" s="1"/>
  <c r="D52" i="6"/>
  <c r="D57" i="6" s="1"/>
  <c r="E9" i="7"/>
  <c r="E11" i="7" s="1"/>
  <c r="E25" i="7" s="1"/>
  <c r="D29" i="6"/>
  <c r="D9" i="7"/>
  <c r="D11" i="7" s="1"/>
  <c r="D25" i="7" s="1"/>
  <c r="D61" i="6"/>
  <c r="D64" i="6" s="1"/>
  <c r="D67" i="6" s="1"/>
  <c r="C9" i="7"/>
  <c r="C11" i="7" s="1"/>
  <c r="C25" i="7" s="1"/>
  <c r="D7" i="6"/>
  <c r="D13" i="6"/>
  <c r="E10" i="4"/>
  <c r="D28" i="1" s="1"/>
  <c r="C14" i="7"/>
  <c r="M17" i="7"/>
  <c r="E17" i="7"/>
  <c r="D17" i="7"/>
  <c r="I17" i="7"/>
  <c r="L17" i="7"/>
  <c r="D25" i="2"/>
  <c r="H17" i="7"/>
  <c r="C17" i="7"/>
  <c r="K17" i="7"/>
  <c r="D12" i="1"/>
  <c r="E52" i="2"/>
  <c r="N17" i="7"/>
  <c r="J17" i="7"/>
  <c r="F17" i="7"/>
  <c r="L9" i="7"/>
  <c r="L11" i="7" s="1"/>
  <c r="L25" i="7" s="1"/>
  <c r="H9" i="7"/>
  <c r="H11" i="7" s="1"/>
  <c r="H25" i="7" s="1"/>
  <c r="K9" i="7"/>
  <c r="K11" i="7" s="1"/>
  <c r="K25" i="7" s="1"/>
  <c r="G9" i="7"/>
  <c r="G11" i="7" s="1"/>
  <c r="G25" i="7" s="1"/>
  <c r="M9" i="7"/>
  <c r="M11" i="7" s="1"/>
  <c r="M25" i="7" s="1"/>
  <c r="I9" i="7"/>
  <c r="I11" i="7" s="1"/>
  <c r="I25" i="7" s="1"/>
  <c r="N9" i="7"/>
  <c r="N11" i="7" s="1"/>
  <c r="N25" i="7" s="1"/>
  <c r="J9" i="7"/>
  <c r="J11" i="7" s="1"/>
  <c r="J25" i="7" s="1"/>
  <c r="F9" i="7"/>
  <c r="F11" i="7" s="1"/>
  <c r="F25" i="7" s="1"/>
  <c r="D52" i="2"/>
  <c r="E9" i="2"/>
  <c r="F17" i="1" s="1"/>
  <c r="D6" i="2"/>
  <c r="D15" i="1"/>
  <c r="E15" i="1"/>
  <c r="E26" i="2"/>
  <c r="E25" i="2" s="1"/>
  <c r="E17" i="1"/>
  <c r="E13" i="1"/>
  <c r="C25" i="2"/>
  <c r="E16" i="1"/>
  <c r="E12" i="1"/>
  <c r="E6" i="1"/>
  <c r="F6" i="1"/>
  <c r="E14" i="2"/>
  <c r="D14" i="2"/>
  <c r="E47" i="3"/>
  <c r="F15" i="6" s="1"/>
  <c r="D47" i="3"/>
  <c r="E15" i="6" s="1"/>
  <c r="D44" i="3"/>
  <c r="E14" i="6" s="1"/>
  <c r="C44" i="3"/>
  <c r="D45" i="3"/>
  <c r="E16" i="6" s="1"/>
  <c r="C49" i="3"/>
  <c r="E26" i="3"/>
  <c r="F29" i="1" s="1"/>
  <c r="C45" i="3"/>
  <c r="E46" i="3"/>
  <c r="F17" i="6" s="1"/>
  <c r="C46" i="3"/>
  <c r="E44" i="3"/>
  <c r="F14" i="6" s="1"/>
  <c r="F13" i="6" s="1"/>
  <c r="E45" i="3"/>
  <c r="F16" i="6" s="1"/>
  <c r="C57" i="2"/>
  <c r="C59" i="2"/>
  <c r="D25" i="1" s="1"/>
  <c r="C32" i="3"/>
  <c r="C21" i="3"/>
  <c r="D26" i="3"/>
  <c r="E32" i="3"/>
  <c r="D32" i="3"/>
  <c r="F61" i="6" l="1"/>
  <c r="F27" i="6"/>
  <c r="E61" i="6"/>
  <c r="E27" i="6"/>
  <c r="E29" i="6" s="1"/>
  <c r="M16" i="7"/>
  <c r="G16" i="7"/>
  <c r="F16" i="7"/>
  <c r="K16" i="7"/>
  <c r="E16" i="7"/>
  <c r="J16" i="7"/>
  <c r="H16" i="7"/>
  <c r="D16" i="7"/>
  <c r="I16" i="7"/>
  <c r="N16" i="7"/>
  <c r="D11" i="4"/>
  <c r="D12" i="4" s="1"/>
  <c r="D13" i="4" s="1"/>
  <c r="D14" i="4" s="1"/>
  <c r="D15" i="4" s="1"/>
  <c r="D16" i="4" s="1"/>
  <c r="D18" i="4" s="1"/>
  <c r="D19" i="4" s="1"/>
  <c r="D20" i="4" s="1"/>
  <c r="D21" i="4" s="1"/>
  <c r="D22" i="4" s="1"/>
  <c r="D23" i="4" s="1"/>
  <c r="D24" i="4" s="1"/>
  <c r="C16" i="7"/>
  <c r="F64" i="6"/>
  <c r="F29" i="6"/>
  <c r="E64" i="6"/>
  <c r="E13" i="6"/>
  <c r="D22" i="6"/>
  <c r="F10" i="4"/>
  <c r="C11" i="4" s="1"/>
  <c r="E52" i="6" s="1"/>
  <c r="E57" i="6" s="1"/>
  <c r="D11" i="1"/>
  <c r="E29" i="1"/>
  <c r="E7" i="1"/>
  <c r="E9" i="1" s="1"/>
  <c r="F20" i="7"/>
  <c r="J20" i="7"/>
  <c r="N20" i="7"/>
  <c r="E20" i="7"/>
  <c r="I20" i="7"/>
  <c r="M20" i="7"/>
  <c r="G20" i="7"/>
  <c r="K20" i="7"/>
  <c r="D20" i="7"/>
  <c r="H20" i="7"/>
  <c r="L20" i="7"/>
  <c r="D7" i="1"/>
  <c r="D9" i="1" s="1"/>
  <c r="F18" i="7"/>
  <c r="J18" i="7"/>
  <c r="N18" i="7"/>
  <c r="E18" i="7"/>
  <c r="I18" i="7"/>
  <c r="M18" i="7"/>
  <c r="G18" i="7"/>
  <c r="K18" i="7"/>
  <c r="C18" i="7"/>
  <c r="D18" i="7"/>
  <c r="H18" i="7"/>
  <c r="L18" i="7"/>
  <c r="E6" i="2"/>
  <c r="F7" i="1"/>
  <c r="F9" i="1" s="1"/>
  <c r="E14" i="1"/>
  <c r="E11" i="1" s="1"/>
  <c r="C43" i="3"/>
  <c r="C55" i="3" s="1"/>
  <c r="C26" i="3"/>
  <c r="D47" i="2"/>
  <c r="E38" i="3"/>
  <c r="D38" i="3"/>
  <c r="E51" i="3"/>
  <c r="F9" i="6" s="1"/>
  <c r="D51" i="3"/>
  <c r="E9" i="6" s="1"/>
  <c r="E53" i="3"/>
  <c r="F11" i="6" s="1"/>
  <c r="D53" i="3"/>
  <c r="E11" i="6" s="1"/>
  <c r="E50" i="3"/>
  <c r="F8" i="6" s="1"/>
  <c r="D50" i="3"/>
  <c r="E8" i="6" s="1"/>
  <c r="E52" i="3"/>
  <c r="F10" i="6" s="1"/>
  <c r="D52" i="3"/>
  <c r="E10" i="6" s="1"/>
  <c r="E67" i="6" l="1"/>
  <c r="F7" i="6"/>
  <c r="F22" i="6" s="1"/>
  <c r="F37" i="6" s="1"/>
  <c r="E7" i="6"/>
  <c r="E22" i="6" s="1"/>
  <c r="E11" i="4"/>
  <c r="D43" i="3"/>
  <c r="E43" i="3"/>
  <c r="D21" i="1"/>
  <c r="F22" i="7"/>
  <c r="F24" i="7" s="1"/>
  <c r="F27" i="7" s="1"/>
  <c r="G26" i="7" s="1"/>
  <c r="J22" i="7"/>
  <c r="J24" i="7" s="1"/>
  <c r="J27" i="7" s="1"/>
  <c r="K26" i="7" s="1"/>
  <c r="N22" i="7"/>
  <c r="N24" i="7" s="1"/>
  <c r="N27" i="7" s="1"/>
  <c r="I22" i="7"/>
  <c r="I24" i="7" s="1"/>
  <c r="I27" i="7" s="1"/>
  <c r="J26" i="7" s="1"/>
  <c r="G22" i="7"/>
  <c r="G24" i="7" s="1"/>
  <c r="G27" i="7" s="1"/>
  <c r="H26" i="7" s="1"/>
  <c r="K22" i="7"/>
  <c r="K24" i="7" s="1"/>
  <c r="K27" i="7" s="1"/>
  <c r="L26" i="7" s="1"/>
  <c r="D22" i="7"/>
  <c r="D24" i="7" s="1"/>
  <c r="D27" i="7" s="1"/>
  <c r="E26" i="7" s="1"/>
  <c r="H22" i="7"/>
  <c r="H24" i="7" s="1"/>
  <c r="H27" i="7" s="1"/>
  <c r="I26" i="7" s="1"/>
  <c r="L22" i="7"/>
  <c r="L24" i="7" s="1"/>
  <c r="L27" i="7" s="1"/>
  <c r="M26" i="7" s="1"/>
  <c r="M22" i="7"/>
  <c r="M24" i="7" s="1"/>
  <c r="M27" i="7" s="1"/>
  <c r="N26" i="7" s="1"/>
  <c r="C22" i="7"/>
  <c r="C24" i="7" s="1"/>
  <c r="C27" i="7" s="1"/>
  <c r="E22" i="7"/>
  <c r="E24" i="7" s="1"/>
  <c r="E27" i="7" s="1"/>
  <c r="F26" i="7" s="1"/>
  <c r="F14" i="1"/>
  <c r="F11" i="1" s="1"/>
  <c r="C38" i="3"/>
  <c r="D29" i="1"/>
  <c r="C47" i="2"/>
  <c r="D24" i="1" s="1"/>
  <c r="E21" i="1"/>
  <c r="E59" i="2"/>
  <c r="E55" i="2"/>
  <c r="F25" i="1" s="1"/>
  <c r="D59" i="2"/>
  <c r="D55" i="2"/>
  <c r="E47" i="2"/>
  <c r="E49" i="3"/>
  <c r="D49" i="3"/>
  <c r="F11" i="4" l="1"/>
  <c r="C12" i="4" s="1"/>
  <c r="E28" i="1"/>
  <c r="F21" i="1"/>
  <c r="E25" i="1"/>
  <c r="C28" i="7"/>
  <c r="D26" i="7"/>
  <c r="D26" i="1"/>
  <c r="D30" i="1" s="1"/>
  <c r="D57" i="2"/>
  <c r="E24" i="1" s="1"/>
  <c r="E57" i="2"/>
  <c r="F24" i="1" s="1"/>
  <c r="E55" i="3"/>
  <c r="D55" i="3"/>
  <c r="D28" i="7" l="1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E33" i="6" s="1"/>
  <c r="E35" i="6" s="1"/>
  <c r="E37" i="6" s="1"/>
  <c r="J38" i="6" s="1"/>
  <c r="D33" i="6"/>
  <c r="D35" i="6" s="1"/>
  <c r="D37" i="6" s="1"/>
  <c r="I38" i="6" s="1"/>
  <c r="E12" i="4"/>
  <c r="F52" i="6"/>
  <c r="F57" i="6" s="1"/>
  <c r="F67" i="6" s="1"/>
  <c r="K38" i="6" s="1"/>
  <c r="D31" i="1"/>
  <c r="D33" i="1" s="1"/>
  <c r="F12" i="4" l="1"/>
  <c r="C13" i="4" s="1"/>
  <c r="E13" i="4" s="1"/>
  <c r="F13" i="4" s="1"/>
  <c r="C14" i="4" s="1"/>
  <c r="E14" i="4" s="1"/>
  <c r="F14" i="4" s="1"/>
  <c r="C15" i="4" s="1"/>
  <c r="F28" i="1"/>
  <c r="E15" i="4" l="1"/>
  <c r="F15" i="4" s="1"/>
  <c r="C16" i="4" s="1"/>
  <c r="E16" i="4" l="1"/>
  <c r="F16" i="4" s="1"/>
  <c r="C17" i="4" s="1"/>
  <c r="E17" i="4" l="1"/>
  <c r="F17" i="4" s="1"/>
  <c r="C18" i="4" s="1"/>
  <c r="E18" i="4" l="1"/>
  <c r="F18" i="4" s="1"/>
  <c r="C19" i="4" s="1"/>
  <c r="E19" i="4" l="1"/>
  <c r="F19" i="4" s="1"/>
  <c r="C20" i="4" s="1"/>
  <c r="E20" i="4" l="1"/>
  <c r="F20" i="4" s="1"/>
  <c r="C21" i="4" s="1"/>
  <c r="E21" i="4" l="1"/>
  <c r="F21" i="4" s="1"/>
  <c r="C22" i="4" s="1"/>
  <c r="E22" i="4" l="1"/>
  <c r="F22" i="4" s="1"/>
  <c r="C23" i="4" s="1"/>
  <c r="E23" i="4" l="1"/>
  <c r="F23" i="4" s="1"/>
  <c r="C24" i="4" s="1"/>
  <c r="E26" i="1" l="1"/>
  <c r="F26" i="1"/>
  <c r="D26" i="4" l="1"/>
  <c r="E24" i="4"/>
  <c r="F24" i="4" s="1"/>
  <c r="C25" i="4" s="1"/>
  <c r="E25" i="4" s="1"/>
  <c r="F25" i="4" s="1"/>
  <c r="F30" i="1"/>
  <c r="F31" i="1" s="1"/>
  <c r="F33" i="1" s="1"/>
  <c r="E30" i="1"/>
  <c r="E31" i="1" s="1"/>
  <c r="E33" i="1" s="1"/>
  <c r="E26" i="4" l="1"/>
</calcChain>
</file>

<file path=xl/sharedStrings.xml><?xml version="1.0" encoding="utf-8"?>
<sst xmlns="http://schemas.openxmlformats.org/spreadsheetml/2006/main" count="237" uniqueCount="180">
  <si>
    <t>Produits d'exploitation</t>
  </si>
  <si>
    <t>Charges d'exploitation</t>
  </si>
  <si>
    <t>Marge brute</t>
  </si>
  <si>
    <t>Charges externes</t>
  </si>
  <si>
    <t>Assurance</t>
  </si>
  <si>
    <t>Téléphone internet</t>
  </si>
  <si>
    <t>Carburant</t>
  </si>
  <si>
    <t xml:space="preserve">Electricité </t>
  </si>
  <si>
    <t>Mutuelle</t>
  </si>
  <si>
    <t>Service bancaires</t>
  </si>
  <si>
    <t>Valeur ajoutée</t>
  </si>
  <si>
    <t>Impôts et taxes</t>
  </si>
  <si>
    <t>Excédent brut d'exploitation</t>
  </si>
  <si>
    <t>Frais bancaires, charges financières</t>
  </si>
  <si>
    <t>Dotations aux amortissements</t>
  </si>
  <si>
    <t>Résultat avant impôts</t>
  </si>
  <si>
    <t>Impôts sur les sociétés</t>
  </si>
  <si>
    <t>Résultat net comptable (résultat de l'exercice)</t>
  </si>
  <si>
    <t>Valeur en €</t>
  </si>
  <si>
    <t>Investissements bruts</t>
  </si>
  <si>
    <t>Immobilisations corporelles</t>
  </si>
  <si>
    <t>Ordinateur</t>
  </si>
  <si>
    <t>Immobilisations incorporelles</t>
  </si>
  <si>
    <t>Coûts techniques et mise en service</t>
  </si>
  <si>
    <t>Frais d'établissement</t>
  </si>
  <si>
    <t>Droit d'enregistrement</t>
  </si>
  <si>
    <t>Total</t>
  </si>
  <si>
    <t>Amortissements</t>
  </si>
  <si>
    <t>Immobilisations nettes</t>
  </si>
  <si>
    <t>Camion de livraison</t>
  </si>
  <si>
    <t xml:space="preserve">Transpalette </t>
  </si>
  <si>
    <t>Chambre froide</t>
  </si>
  <si>
    <t xml:space="preserve">Chambre froide </t>
  </si>
  <si>
    <t>Hypothèse</t>
  </si>
  <si>
    <t>Transpalette</t>
  </si>
  <si>
    <t xml:space="preserve">Camion </t>
  </si>
  <si>
    <t>Création d'un site web + application</t>
  </si>
  <si>
    <t>Durée d'amortissement      (en années)</t>
  </si>
  <si>
    <t xml:space="preserve">Hypothèse </t>
  </si>
  <si>
    <t>brut</t>
  </si>
  <si>
    <t>charges sociales</t>
  </si>
  <si>
    <t>net</t>
  </si>
  <si>
    <t>charges patronales</t>
  </si>
  <si>
    <t>Rémunération salariés</t>
  </si>
  <si>
    <t>Annuités constante</t>
  </si>
  <si>
    <t>Période</t>
  </si>
  <si>
    <t>Capital restant dûe</t>
  </si>
  <si>
    <t>Annuités</t>
  </si>
  <si>
    <t>Intérêts</t>
  </si>
  <si>
    <t>Rémunération prestataires</t>
  </si>
  <si>
    <t>Avocat</t>
  </si>
  <si>
    <t>comptable</t>
  </si>
  <si>
    <t>Intérêt</t>
  </si>
  <si>
    <t>Quantités vente Local</t>
  </si>
  <si>
    <t>Prix vente Local</t>
  </si>
  <si>
    <t>Quantités vente Supermarché</t>
  </si>
  <si>
    <t xml:space="preserve">Augmentation </t>
  </si>
  <si>
    <t>Charge d'exploitation</t>
  </si>
  <si>
    <t>Emballage</t>
  </si>
  <si>
    <t>Outils</t>
  </si>
  <si>
    <t>Achat de marchandise</t>
  </si>
  <si>
    <t>Fruits et légumes</t>
  </si>
  <si>
    <t>Viande et poisson</t>
  </si>
  <si>
    <t>Boite de conserve</t>
  </si>
  <si>
    <t>Produits laitiers</t>
  </si>
  <si>
    <t>Fourniture de bureau</t>
  </si>
  <si>
    <t>Bureau</t>
  </si>
  <si>
    <t>Chaise</t>
  </si>
  <si>
    <t xml:space="preserve">Caisse </t>
  </si>
  <si>
    <t>Imprimante ticket</t>
  </si>
  <si>
    <t xml:space="preserve">Ordinateur </t>
  </si>
  <si>
    <t>Etagère</t>
  </si>
  <si>
    <t>Sacher craft</t>
  </si>
  <si>
    <t>Carton</t>
  </si>
  <si>
    <t>ACTIF</t>
  </si>
  <si>
    <t>ACTIF IMMOBILISE</t>
  </si>
  <si>
    <t>Immobilisations incorporelles H.T.</t>
  </si>
  <si>
    <t>Immobilisations corporelles H.T.</t>
  </si>
  <si>
    <t>Matériel informatique</t>
  </si>
  <si>
    <t>Agencement / travaux</t>
  </si>
  <si>
    <t>Immobilisations financières</t>
  </si>
  <si>
    <t>Caution local prof.</t>
  </si>
  <si>
    <t>TOTAL Actif Immobilisé</t>
  </si>
  <si>
    <t>Stocks de départ</t>
  </si>
  <si>
    <t>Créances clients</t>
  </si>
  <si>
    <t>TOTAL Actif circulant</t>
  </si>
  <si>
    <t>Trésorerie Active</t>
  </si>
  <si>
    <t>TOTAL Trésorerie Active</t>
  </si>
  <si>
    <t xml:space="preserve">TOTAL </t>
  </si>
  <si>
    <t>PASSIF</t>
  </si>
  <si>
    <t>Fond Propres</t>
  </si>
  <si>
    <t>Apport en Capital Social</t>
  </si>
  <si>
    <r>
      <rPr>
        <sz val="11"/>
        <rFont val="Wingdings"/>
        <charset val="2"/>
      </rPr>
      <t>à</t>
    </r>
    <r>
      <rPr>
        <sz val="11"/>
        <rFont val="Arial"/>
        <family val="2"/>
      </rPr>
      <t>dont numéraire</t>
    </r>
  </si>
  <si>
    <r>
      <rPr>
        <sz val="11"/>
        <rFont val="Wingdings"/>
        <charset val="2"/>
      </rPr>
      <t>à</t>
    </r>
    <r>
      <rPr>
        <sz val="11"/>
        <rFont val="Arial"/>
        <family val="2"/>
      </rPr>
      <t>dont nature</t>
    </r>
  </si>
  <si>
    <t>TOTAL Capitaux Propres</t>
  </si>
  <si>
    <t>Dettes Moyen et Long Terme</t>
  </si>
  <si>
    <t>Emprunts bancaires</t>
  </si>
  <si>
    <t>Autres emprunts</t>
  </si>
  <si>
    <t>Prêt d'honneur</t>
  </si>
  <si>
    <t>Compte courant associé</t>
  </si>
  <si>
    <t>TOTAL Dettes</t>
  </si>
  <si>
    <t>PASSIF CIRCULANT</t>
  </si>
  <si>
    <t>Dettes fournisseurs</t>
  </si>
  <si>
    <t>Dettes fiscales &amp; sociales</t>
  </si>
  <si>
    <t>TOTAL Passif circulant</t>
  </si>
  <si>
    <t>Vehicule</t>
  </si>
  <si>
    <t>Matériel de transport</t>
  </si>
  <si>
    <t>ACTIF CIRCULANT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</si>
  <si>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</si>
  <si>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</si>
  <si>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</si>
  <si>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</si>
  <si>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</si>
  <si>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</si>
  <si>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</si>
  <si>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</si>
  <si>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</si>
  <si>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</si>
  <si>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</si>
  <si>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</si>
  <si>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rPr>
        <sz val="10"/>
        <rFont val="Calibri"/>
        <family val="1"/>
      </rPr>
      <t>Apport personnel</t>
    </r>
  </si>
  <si>
    <r>
      <rPr>
        <sz val="10"/>
        <rFont val="Calibri"/>
        <family val="1"/>
      </rPr>
      <t>Emprunts</t>
    </r>
  </si>
  <si>
    <r>
      <rPr>
        <sz val="10"/>
        <rFont val="Calibri"/>
        <family val="1"/>
      </rPr>
      <t>Subventions</t>
    </r>
  </si>
  <si>
    <r>
      <rPr>
        <sz val="10"/>
        <rFont val="Calibri"/>
        <family val="1"/>
      </rPr>
      <t>Autres financements</t>
    </r>
  </si>
  <si>
    <r>
      <rPr>
        <sz val="10"/>
        <rFont val="Calibri"/>
        <family val="1"/>
      </rPr>
      <t>Vente de marchandises</t>
    </r>
  </si>
  <si>
    <r>
      <rPr>
        <sz val="10"/>
        <rFont val="Calibri"/>
        <family val="1"/>
      </rPr>
      <t>Vente de services</t>
    </r>
  </si>
  <si>
    <r>
      <rPr>
        <b/>
        <sz val="10"/>
        <rFont val="Calibri"/>
        <family val="1"/>
      </rPr>
      <t>Chiffre d'affaires (total)</t>
    </r>
  </si>
  <si>
    <r>
      <rPr>
        <sz val="10"/>
        <rFont val="Calibri"/>
        <family val="1"/>
      </rPr>
      <t>Immobilisations corporelles</t>
    </r>
  </si>
  <si>
    <r>
      <rPr>
        <b/>
        <sz val="10"/>
        <rFont val="Calibri"/>
        <family val="1"/>
      </rPr>
      <t>Immobilisations (total)</t>
    </r>
  </si>
  <si>
    <r>
      <rPr>
        <sz val="10"/>
        <rFont val="Calibri"/>
        <family val="1"/>
      </rPr>
      <t>Acquisition stocks</t>
    </r>
  </si>
  <si>
    <r>
      <rPr>
        <sz val="10"/>
        <rFont val="Calibri"/>
        <family val="1"/>
      </rPr>
      <t>Échéances emprunt</t>
    </r>
  </si>
  <si>
    <r>
      <rPr>
        <sz val="10"/>
        <rFont val="Calibri"/>
        <family val="1"/>
      </rPr>
      <t>Achats de marchandises</t>
    </r>
  </si>
  <si>
    <r>
      <rPr>
        <sz val="10"/>
        <rFont val="Calibri"/>
        <family val="1"/>
      </rPr>
      <t>Charges externes</t>
    </r>
  </si>
  <si>
    <r>
      <rPr>
        <sz val="10"/>
        <rFont val="Calibri"/>
        <family val="1"/>
      </rPr>
      <t>Impôts et taxes</t>
    </r>
  </si>
  <si>
    <r>
      <rPr>
        <sz val="10"/>
        <rFont val="Calibri"/>
        <family val="1"/>
      </rPr>
      <t>Salaires employés</t>
    </r>
  </si>
  <si>
    <r>
      <rPr>
        <sz val="10"/>
        <rFont val="Calibri"/>
        <family val="1"/>
      </rPr>
      <t>Charges sociales employés</t>
    </r>
  </si>
  <si>
    <t>Total charges de personnel</t>
  </si>
  <si>
    <r>
      <rPr>
        <sz val="10"/>
        <rFont val="Calibri"/>
        <family val="1"/>
      </rPr>
      <t>Frais bancaires, charges financières</t>
    </r>
  </si>
  <si>
    <t>Total des décaissements</t>
  </si>
  <si>
    <t>Total des encaissements</t>
  </si>
  <si>
    <r>
      <rPr>
        <sz val="10"/>
        <rFont val="Calibri"/>
        <family val="1"/>
      </rPr>
      <t>Solde précédent</t>
    </r>
  </si>
  <si>
    <t>Solde du mois</t>
  </si>
  <si>
    <t>Solde de trésorerie (cumul)</t>
  </si>
  <si>
    <t xml:space="preserve"> Il n'y a pas de saisonnalité</t>
  </si>
  <si>
    <t>Coûts externe</t>
  </si>
  <si>
    <t>Capital</t>
  </si>
  <si>
    <t>Durée</t>
  </si>
  <si>
    <t>Prev</t>
  </si>
  <si>
    <t>Nombre ventes/jour</t>
  </si>
  <si>
    <t>nombre de jours ouvrables / an</t>
  </si>
  <si>
    <t>progession Quantités</t>
  </si>
  <si>
    <t>Progression prix</t>
  </si>
  <si>
    <t xml:space="preserve">Quantités vente Local </t>
  </si>
  <si>
    <t>1ère année</t>
  </si>
  <si>
    <t>Loyer</t>
  </si>
  <si>
    <t>Rentabilité local</t>
  </si>
  <si>
    <t>Prix /m²</t>
  </si>
  <si>
    <t>Loyer annuel/m²</t>
  </si>
  <si>
    <t xml:space="preserve">Surface du local </t>
  </si>
  <si>
    <t>Livreur - temps partiel (4/5ème)</t>
  </si>
  <si>
    <t>Alternant commercial</t>
  </si>
  <si>
    <t>Aide Alternant commercial</t>
  </si>
  <si>
    <t>Alternant com &amp; marketing</t>
  </si>
  <si>
    <t>Aide Alternant com &amp; marketing</t>
  </si>
  <si>
    <t>ESAT</t>
  </si>
  <si>
    <t>Aide ESAT</t>
  </si>
  <si>
    <t>CI-RMA</t>
  </si>
  <si>
    <t>Aide CI-RMA</t>
  </si>
  <si>
    <t>Cadre</t>
  </si>
  <si>
    <t>Salaires et traitements</t>
  </si>
  <si>
    <t xml:space="preserve">Charges sociales </t>
  </si>
  <si>
    <t>Charges sociales (23%)</t>
  </si>
  <si>
    <t>Charges sociales ESAT (18,95%)</t>
  </si>
  <si>
    <t>Charges sociales CI-RMA</t>
  </si>
  <si>
    <t>Plan média (comm, marketing)</t>
  </si>
  <si>
    <t>Trésorerie</t>
  </si>
  <si>
    <t>Vérif</t>
  </si>
  <si>
    <t>acceptable</t>
  </si>
  <si>
    <t>Prix vente Boulangeries</t>
  </si>
  <si>
    <t>Quantités vente Boulangeries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</si>
</sst>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.0_-;\-* #,##0.0_-;_-* &quot;-&quot;??_-;_-@_-"/>
    <numFmt numFmtId="168" formatCode="_-* #,##0\ _€_-;\-* #,##0\ _€_-;_-* &quot;-&quot;?\ _€_-;_-@_-"/>
    <numFmt numFmtId="169" formatCode="0.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62"/>
      <name val="Arial"/>
      <family val="2"/>
    </font>
    <font>
      <b/>
      <sz val="11"/>
      <color indexed="62"/>
      <name val="Arial"/>
      <family val="2"/>
    </font>
    <font>
      <sz val="11"/>
      <name val="Arial"/>
      <family val="2"/>
      <charset val="2"/>
    </font>
    <font>
      <sz val="11"/>
      <name val="Wingdings"/>
      <charset val="2"/>
    </font>
    <font>
      <b/>
      <sz val="16"/>
      <color theme="0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name val="Calibri"/>
      <family val="1"/>
    </font>
    <font>
      <b/>
      <sz val="10"/>
      <name val="Calibri"/>
      <family val="2"/>
    </font>
    <font>
      <b/>
      <sz val="10"/>
      <name val="Calibri"/>
      <family val="1"/>
    </font>
    <font>
      <b/>
      <sz val="11"/>
      <name val="Calibri"/>
      <family val="2"/>
    </font>
    <font>
      <i/>
      <sz val="11"/>
      <color theme="7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3" fillId="0" borderId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3" xfId="0" applyFont="1" applyBorder="1"/>
    <xf numFmtId="0" fontId="0" fillId="0" borderId="3" xfId="0" applyBorder="1"/>
    <xf numFmtId="0" fontId="0" fillId="0" borderId="6" xfId="0" applyBorder="1"/>
    <xf numFmtId="0" fontId="2" fillId="3" borderId="1" xfId="0" applyFont="1" applyFill="1" applyBorder="1"/>
    <xf numFmtId="0" fontId="0" fillId="3" borderId="1" xfId="0" applyFill="1" applyBorder="1"/>
    <xf numFmtId="0" fontId="2" fillId="5" borderId="5" xfId="0" applyFont="1" applyFill="1" applyBorder="1" applyAlignment="1">
      <alignment horizontal="center"/>
    </xf>
    <xf numFmtId="0" fontId="4" fillId="4" borderId="3" xfId="0" applyFont="1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4" fillId="4" borderId="1" xfId="0" applyFont="1" applyFill="1" applyBorder="1"/>
    <xf numFmtId="164" fontId="0" fillId="4" borderId="1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/>
    <xf numFmtId="0" fontId="0" fillId="0" borderId="1" xfId="0" applyBorder="1" applyAlignment="1">
      <alignment horizontal="center" vertical="center"/>
    </xf>
    <xf numFmtId="0" fontId="2" fillId="4" borderId="2" xfId="0" applyFont="1" applyFill="1" applyBorder="1" applyAlignment="1">
      <alignment horizontal="left" indent="2"/>
    </xf>
    <xf numFmtId="164" fontId="2" fillId="4" borderId="2" xfId="1" applyNumberFormat="1" applyFont="1" applyFill="1" applyBorder="1" applyAlignment="1">
      <alignment horizontal="center" vertical="center"/>
    </xf>
    <xf numFmtId="164" fontId="1" fillId="4" borderId="2" xfId="1" applyNumberFormat="1" applyFont="1" applyFill="1" applyBorder="1"/>
    <xf numFmtId="165" fontId="5" fillId="4" borderId="1" xfId="2" applyFont="1" applyFill="1" applyBorder="1" applyAlignment="1">
      <alignment horizontal="left" vertical="top" indent="2"/>
    </xf>
    <xf numFmtId="164" fontId="5" fillId="4" borderId="1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/>
    <xf numFmtId="164" fontId="3" fillId="4" borderId="1" xfId="1" applyNumberFormat="1" applyFont="1" applyFill="1" applyBorder="1"/>
    <xf numFmtId="166" fontId="7" fillId="4" borderId="1" xfId="2" applyNumberFormat="1" applyFont="1" applyFill="1" applyBorder="1" applyAlignment="1">
      <alignment horizontal="left" vertical="top" indent="2"/>
    </xf>
    <xf numFmtId="164" fontId="2" fillId="4" borderId="2" xfId="1" applyNumberFormat="1" applyFont="1" applyFill="1" applyBorder="1" applyAlignment="1">
      <alignment horizontal="left" indent="2"/>
    </xf>
    <xf numFmtId="164" fontId="8" fillId="4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left" vertical="top" indent="2"/>
    </xf>
    <xf numFmtId="165" fontId="9" fillId="4" borderId="1" xfId="2" applyFont="1" applyFill="1" applyBorder="1" applyAlignment="1">
      <alignment horizontal="left" vertical="top" indent="2"/>
    </xf>
    <xf numFmtId="165" fontId="10" fillId="4" borderId="9" xfId="2" applyFont="1" applyFill="1" applyBorder="1" applyAlignment="1">
      <alignment horizontal="left" vertical="top" indent="2"/>
    </xf>
    <xf numFmtId="164" fontId="10" fillId="4" borderId="10" xfId="1" applyNumberFormat="1" applyFont="1" applyFill="1" applyBorder="1" applyAlignment="1">
      <alignment horizontal="center" vertical="center"/>
    </xf>
    <xf numFmtId="0" fontId="0" fillId="0" borderId="2" xfId="0" applyBorder="1"/>
    <xf numFmtId="0" fontId="4" fillId="3" borderId="3" xfId="0" applyFont="1" applyFill="1" applyBorder="1"/>
    <xf numFmtId="0" fontId="2" fillId="3" borderId="1" xfId="0" applyFont="1" applyFill="1" applyBorder="1" applyAlignment="1">
      <alignment horizontal="left" indent="2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indent="2"/>
    </xf>
    <xf numFmtId="164" fontId="2" fillId="3" borderId="2" xfId="1" applyNumberFormat="1" applyFont="1" applyFill="1" applyBorder="1" applyAlignment="1">
      <alignment horizontal="center" vertical="center"/>
    </xf>
    <xf numFmtId="165" fontId="5" fillId="3" borderId="1" xfId="2" applyFont="1" applyFill="1" applyBorder="1" applyAlignment="1">
      <alignment horizontal="left" vertical="top" indent="2"/>
    </xf>
    <xf numFmtId="164" fontId="8" fillId="3" borderId="1" xfId="1" applyNumberFormat="1" applyFont="1" applyFill="1" applyBorder="1" applyAlignment="1">
      <alignment horizontal="center" vertical="center"/>
    </xf>
    <xf numFmtId="165" fontId="7" fillId="3" borderId="1" xfId="2" applyFont="1" applyFill="1" applyBorder="1" applyAlignment="1">
      <alignment horizontal="left" vertical="top" indent="2"/>
    </xf>
    <xf numFmtId="164" fontId="5" fillId="3" borderId="1" xfId="1" applyNumberFormat="1" applyFont="1" applyFill="1" applyBorder="1" applyAlignment="1">
      <alignment horizontal="center" vertical="center"/>
    </xf>
    <xf numFmtId="0" fontId="10" fillId="3" borderId="10" xfId="2" applyNumberFormat="1" applyFont="1" applyFill="1" applyBorder="1" applyAlignment="1">
      <alignment horizontal="center" vertical="center"/>
    </xf>
    <xf numFmtId="164" fontId="10" fillId="3" borderId="10" xfId="1" applyNumberFormat="1" applyFont="1" applyFill="1" applyBorder="1" applyAlignment="1">
      <alignment horizontal="center" vertical="center"/>
    </xf>
    <xf numFmtId="166" fontId="5" fillId="3" borderId="0" xfId="2" applyNumberFormat="1" applyFont="1" applyFill="1" applyBorder="1" applyAlignment="1">
      <alignment horizontal="left" vertical="top" indent="2"/>
    </xf>
    <xf numFmtId="165" fontId="5" fillId="0" borderId="0" xfId="2" applyFont="1" applyFill="1" applyBorder="1" applyAlignment="1">
      <alignment horizontal="left" vertical="top" indent="2"/>
    </xf>
    <xf numFmtId="0" fontId="4" fillId="6" borderId="3" xfId="0" applyFont="1" applyFill="1" applyBorder="1"/>
    <xf numFmtId="0" fontId="0" fillId="6" borderId="1" xfId="0" applyFill="1" applyBorder="1"/>
    <xf numFmtId="165" fontId="7" fillId="6" borderId="1" xfId="2" applyFont="1" applyFill="1" applyBorder="1" applyAlignment="1">
      <alignment horizontal="left" vertical="top" indent="2"/>
    </xf>
    <xf numFmtId="164" fontId="2" fillId="6" borderId="1" xfId="1" applyNumberFormat="1" applyFont="1" applyFill="1" applyBorder="1"/>
    <xf numFmtId="165" fontId="9" fillId="6" borderId="2" xfId="2" applyFont="1" applyFill="1" applyBorder="1" applyAlignment="1">
      <alignment horizontal="left" vertical="top" indent="2"/>
    </xf>
    <xf numFmtId="164" fontId="2" fillId="6" borderId="2" xfId="1" applyNumberFormat="1" applyFont="1" applyFill="1" applyBorder="1"/>
    <xf numFmtId="164" fontId="8" fillId="6" borderId="1" xfId="1" applyNumberFormat="1" applyFont="1" applyFill="1" applyBorder="1"/>
    <xf numFmtId="164" fontId="11" fillId="6" borderId="1" xfId="1" applyNumberFormat="1" applyFont="1" applyFill="1" applyBorder="1" applyAlignment="1">
      <alignment horizontal="left" vertical="top" indent="2"/>
    </xf>
    <xf numFmtId="164" fontId="9" fillId="6" borderId="2" xfId="1" applyNumberFormat="1" applyFont="1" applyFill="1" applyBorder="1" applyAlignment="1">
      <alignment horizontal="left" vertical="top" indent="2"/>
    </xf>
    <xf numFmtId="164" fontId="5" fillId="6" borderId="1" xfId="1" applyNumberFormat="1" applyFont="1" applyFill="1" applyBorder="1" applyAlignment="1">
      <alignment horizontal="left" vertical="top" indent="2"/>
    </xf>
    <xf numFmtId="165" fontId="10" fillId="6" borderId="9" xfId="2" applyFont="1" applyFill="1" applyBorder="1" applyAlignment="1">
      <alignment horizontal="left" vertical="top" indent="2"/>
    </xf>
    <xf numFmtId="166" fontId="4" fillId="6" borderId="10" xfId="2" applyNumberFormat="1" applyFont="1" applyFill="1" applyBorder="1" applyAlignment="1">
      <alignment horizontal="center" vertical="center"/>
    </xf>
    <xf numFmtId="167" fontId="8" fillId="0" borderId="12" xfId="1" applyNumberFormat="1" applyFont="1" applyFill="1" applyBorder="1" applyAlignment="1">
      <alignment horizontal="center" vertical="center"/>
    </xf>
    <xf numFmtId="0" fontId="12" fillId="0" borderId="0" xfId="3"/>
    <xf numFmtId="0" fontId="0" fillId="0" borderId="0" xfId="0" applyFill="1"/>
    <xf numFmtId="0" fontId="12" fillId="0" borderId="1" xfId="3" applyFill="1" applyBorder="1"/>
    <xf numFmtId="0" fontId="12" fillId="0" borderId="1" xfId="3" applyBorder="1"/>
    <xf numFmtId="0" fontId="2" fillId="5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5" fontId="5" fillId="4" borderId="1" xfId="2" applyFont="1" applyFill="1" applyBorder="1" applyAlignment="1">
      <alignment horizontal="left" vertical="top"/>
    </xf>
    <xf numFmtId="165" fontId="5" fillId="3" borderId="1" xfId="2" applyFont="1" applyFill="1" applyBorder="1" applyAlignment="1">
      <alignment horizontal="left" vertical="top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2" fillId="0" borderId="5" xfId="0" applyFont="1" applyBorder="1"/>
    <xf numFmtId="14" fontId="2" fillId="7" borderId="5" xfId="0" applyNumberFormat="1" applyFont="1" applyFill="1" applyBorder="1"/>
    <xf numFmtId="164" fontId="0" fillId="0" borderId="1" xfId="1" applyNumberFormat="1" applyFont="1" applyBorder="1"/>
    <xf numFmtId="0" fontId="0" fillId="0" borderId="14" xfId="0" applyBorder="1"/>
    <xf numFmtId="0" fontId="0" fillId="0" borderId="11" xfId="0" applyBorder="1"/>
    <xf numFmtId="0" fontId="12" fillId="0" borderId="11" xfId="3" applyBorder="1"/>
    <xf numFmtId="9" fontId="0" fillId="0" borderId="1" xfId="0" applyNumberFormat="1" applyBorder="1"/>
    <xf numFmtId="164" fontId="2" fillId="0" borderId="1" xfId="1" applyNumberFormat="1" applyFont="1" applyBorder="1"/>
    <xf numFmtId="9" fontId="0" fillId="0" borderId="3" xfId="0" applyNumberFormat="1" applyBorder="1"/>
    <xf numFmtId="164" fontId="0" fillId="0" borderId="1" xfId="0" applyNumberFormat="1" applyBorder="1"/>
    <xf numFmtId="164" fontId="2" fillId="0" borderId="1" xfId="0" applyNumberFormat="1" applyFont="1" applyBorder="1"/>
    <xf numFmtId="0" fontId="2" fillId="0" borderId="5" xfId="0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0" fontId="0" fillId="0" borderId="1" xfId="0" applyFont="1" applyBorder="1"/>
    <xf numFmtId="9" fontId="0" fillId="0" borderId="1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0" fontId="2" fillId="0" borderId="1" xfId="0" applyFont="1" applyFill="1" applyBorder="1"/>
    <xf numFmtId="0" fontId="2" fillId="0" borderId="5" xfId="0" applyFont="1" applyFill="1" applyBorder="1"/>
    <xf numFmtId="0" fontId="0" fillId="0" borderId="2" xfId="0" applyFont="1" applyBorder="1"/>
    <xf numFmtId="0" fontId="0" fillId="0" borderId="12" xfId="0" applyBorder="1"/>
    <xf numFmtId="0" fontId="0" fillId="0" borderId="0" xfId="0" applyBorder="1"/>
    <xf numFmtId="0" fontId="0" fillId="0" borderId="5" xfId="0" applyBorder="1"/>
    <xf numFmtId="14" fontId="2" fillId="7" borderId="2" xfId="0" applyNumberFormat="1" applyFont="1" applyFill="1" applyBorder="1"/>
    <xf numFmtId="14" fontId="2" fillId="7" borderId="15" xfId="0" applyNumberFormat="1" applyFont="1" applyFill="1" applyBorder="1"/>
    <xf numFmtId="14" fontId="2" fillId="2" borderId="2" xfId="0" applyNumberFormat="1" applyFont="1" applyFill="1" applyBorder="1"/>
    <xf numFmtId="164" fontId="0" fillId="2" borderId="2" xfId="1" applyNumberFormat="1" applyFont="1" applyFill="1" applyBorder="1"/>
    <xf numFmtId="9" fontId="0" fillId="2" borderId="2" xfId="0" applyNumberFormat="1" applyFill="1" applyBorder="1"/>
    <xf numFmtId="14" fontId="2" fillId="2" borderId="5" xfId="0" applyNumberFormat="1" applyFont="1" applyFill="1" applyBorder="1"/>
    <xf numFmtId="164" fontId="2" fillId="2" borderId="8" xfId="0" applyNumberFormat="1" applyFont="1" applyFill="1" applyBorder="1"/>
    <xf numFmtId="1" fontId="0" fillId="0" borderId="0" xfId="0" applyNumberFormat="1"/>
    <xf numFmtId="3" fontId="14" fillId="0" borderId="0" xfId="4" applyNumberFormat="1" applyFont="1" applyAlignment="1">
      <alignment horizontal="center" vertical="center"/>
    </xf>
    <xf numFmtId="3" fontId="17" fillId="0" borderId="1" xfId="4" applyNumberFormat="1" applyFont="1" applyBorder="1" applyAlignment="1">
      <alignment horizontal="right"/>
    </xf>
    <xf numFmtId="3" fontId="16" fillId="9" borderId="20" xfId="4" applyNumberFormat="1" applyFont="1" applyFill="1" applyBorder="1" applyAlignment="1">
      <alignment horizontal="center" vertical="center"/>
    </xf>
    <xf numFmtId="3" fontId="16" fillId="9" borderId="16" xfId="4" applyNumberFormat="1" applyFont="1" applyFill="1" applyBorder="1" applyAlignment="1">
      <alignment horizontal="center" vertical="center"/>
    </xf>
    <xf numFmtId="3" fontId="16" fillId="0" borderId="12" xfId="4" applyNumberFormat="1" applyFont="1" applyBorder="1" applyAlignment="1">
      <alignment horizontal="center" vertical="center"/>
    </xf>
    <xf numFmtId="3" fontId="16" fillId="0" borderId="0" xfId="4" applyNumberFormat="1" applyFont="1" applyAlignment="1">
      <alignment horizontal="center" vertical="center"/>
    </xf>
    <xf numFmtId="3" fontId="16" fillId="0" borderId="3" xfId="4" applyNumberFormat="1" applyFont="1" applyBorder="1" applyAlignment="1">
      <alignment horizontal="center" vertical="center"/>
    </xf>
    <xf numFmtId="3" fontId="16" fillId="0" borderId="1" xfId="4" applyNumberFormat="1" applyFont="1" applyBorder="1" applyAlignment="1">
      <alignment horizontal="right"/>
    </xf>
    <xf numFmtId="3" fontId="16" fillId="0" borderId="19" xfId="4" applyNumberFormat="1" applyFont="1" applyBorder="1" applyAlignment="1">
      <alignment horizontal="right"/>
    </xf>
    <xf numFmtId="3" fontId="15" fillId="5" borderId="28" xfId="4" applyNumberFormat="1" applyFont="1" applyFill="1" applyBorder="1" applyAlignment="1">
      <alignment horizontal="center" vertical="center"/>
    </xf>
    <xf numFmtId="3" fontId="18" fillId="0" borderId="12" xfId="4" applyNumberFormat="1" applyFont="1" applyBorder="1"/>
    <xf numFmtId="3" fontId="18" fillId="0" borderId="0" xfId="4" applyNumberFormat="1" applyFont="1"/>
    <xf numFmtId="3" fontId="16" fillId="9" borderId="5" xfId="4" applyNumberFormat="1" applyFont="1" applyFill="1" applyBorder="1" applyAlignment="1">
      <alignment horizontal="center" vertical="center"/>
    </xf>
    <xf numFmtId="3" fontId="19" fillId="0" borderId="15" xfId="4" applyNumberFormat="1" applyFont="1" applyBorder="1" applyAlignment="1">
      <alignment horizontal="center"/>
    </xf>
    <xf numFmtId="3" fontId="16" fillId="9" borderId="6" xfId="4" applyNumberFormat="1" applyFont="1" applyFill="1" applyBorder="1"/>
    <xf numFmtId="3" fontId="17" fillId="9" borderId="8" xfId="4" applyNumberFormat="1" applyFont="1" applyFill="1" applyBorder="1"/>
    <xf numFmtId="3" fontId="17" fillId="0" borderId="12" xfId="4" applyNumberFormat="1" applyFont="1" applyBorder="1" applyAlignment="1">
      <alignment horizontal="left" vertical="top"/>
    </xf>
    <xf numFmtId="3" fontId="17" fillId="0" borderId="11" xfId="4" applyNumberFormat="1" applyFont="1" applyBorder="1" applyAlignment="1">
      <alignment horizontal="left" vertical="top"/>
    </xf>
    <xf numFmtId="3" fontId="17" fillId="0" borderId="1" xfId="4" applyNumberFormat="1" applyFont="1" applyFill="1" applyBorder="1" applyAlignment="1">
      <alignment horizontal="right"/>
    </xf>
    <xf numFmtId="0" fontId="16" fillId="0" borderId="5" xfId="4" applyFont="1" applyBorder="1" applyAlignment="1">
      <alignment horizontal="center" vertical="center"/>
    </xf>
    <xf numFmtId="3" fontId="17" fillId="0" borderId="11" xfId="4" applyNumberFormat="1" applyFont="1" applyBorder="1" applyAlignment="1">
      <alignment horizontal="right"/>
    </xf>
    <xf numFmtId="3" fontId="17" fillId="0" borderId="1" xfId="4" applyNumberFormat="1" applyFont="1" applyBorder="1" applyAlignment="1">
      <alignment horizontal="left" vertical="top"/>
    </xf>
    <xf numFmtId="3" fontId="18" fillId="0" borderId="3" xfId="4" applyNumberFormat="1" applyFont="1" applyBorder="1"/>
    <xf numFmtId="3" fontId="17" fillId="0" borderId="24" xfId="4" applyNumberFormat="1" applyFont="1" applyBorder="1" applyAlignment="1">
      <alignment horizontal="center"/>
    </xf>
    <xf numFmtId="3" fontId="16" fillId="0" borderId="5" xfId="4" applyNumberFormat="1" applyFont="1" applyBorder="1" applyAlignment="1">
      <alignment horizontal="center" vertical="center"/>
    </xf>
    <xf numFmtId="3" fontId="18" fillId="0" borderId="1" xfId="4" applyNumberFormat="1" applyFont="1" applyBorder="1"/>
    <xf numFmtId="3" fontId="15" fillId="0" borderId="0" xfId="4" applyNumberFormat="1" applyFont="1"/>
    <xf numFmtId="3" fontId="19" fillId="0" borderId="23" xfId="4" applyNumberFormat="1" applyFont="1" applyBorder="1" applyAlignment="1">
      <alignment horizontal="center"/>
    </xf>
    <xf numFmtId="3" fontId="19" fillId="0" borderId="0" xfId="4" applyNumberFormat="1" applyFont="1" applyAlignment="1">
      <alignment horizontal="center"/>
    </xf>
    <xf numFmtId="3" fontId="16" fillId="0" borderId="1" xfId="4" applyNumberFormat="1" applyFont="1" applyBorder="1" applyAlignment="1">
      <alignment horizontal="center" vertical="center"/>
    </xf>
    <xf numFmtId="3" fontId="16" fillId="0" borderId="11" xfId="4" applyNumberFormat="1" applyFont="1" applyBorder="1" applyAlignment="1">
      <alignment horizontal="right"/>
    </xf>
    <xf numFmtId="3" fontId="16" fillId="9" borderId="8" xfId="4" applyNumberFormat="1" applyFont="1" applyFill="1" applyBorder="1" applyAlignment="1">
      <alignment horizontal="center" vertical="center"/>
    </xf>
    <xf numFmtId="3" fontId="15" fillId="5" borderId="10" xfId="4" applyNumberFormat="1" applyFont="1" applyFill="1" applyBorder="1" applyAlignment="1">
      <alignment horizontal="center" vertical="center"/>
    </xf>
    <xf numFmtId="0" fontId="16" fillId="0" borderId="6" xfId="4" applyFont="1" applyBorder="1" applyAlignment="1">
      <alignment vertical="center"/>
    </xf>
    <xf numFmtId="0" fontId="16" fillId="0" borderId="8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3" fontId="17" fillId="0" borderId="0" xfId="4" applyNumberFormat="1" applyFont="1" applyBorder="1"/>
    <xf numFmtId="3" fontId="16" fillId="0" borderId="0" xfId="4" applyNumberFormat="1" applyFont="1" applyBorder="1" applyAlignment="1">
      <alignment horizontal="right"/>
    </xf>
    <xf numFmtId="3" fontId="15" fillId="0" borderId="23" xfId="4" applyNumberFormat="1" applyFont="1" applyBorder="1" applyAlignment="1"/>
    <xf numFmtId="3" fontId="15" fillId="0" borderId="0" xfId="4" applyNumberFormat="1" applyFont="1" applyAlignment="1"/>
    <xf numFmtId="3" fontId="16" fillId="0" borderId="1" xfId="4" applyNumberFormat="1" applyFont="1" applyBorder="1" applyAlignment="1">
      <alignment vertical="center"/>
    </xf>
    <xf numFmtId="3" fontId="16" fillId="0" borderId="0" xfId="4" applyNumberFormat="1" applyFont="1" applyBorder="1" applyAlignment="1">
      <alignment vertical="center"/>
    </xf>
    <xf numFmtId="3" fontId="16" fillId="0" borderId="5" xfId="4" applyNumberFormat="1" applyFont="1" applyBorder="1" applyAlignment="1">
      <alignment vertical="center"/>
    </xf>
    <xf numFmtId="3" fontId="22" fillId="0" borderId="0" xfId="4" applyNumberFormat="1" applyFont="1" applyFill="1" applyBorder="1" applyAlignment="1">
      <alignment horizontal="center" vertical="center"/>
    </xf>
    <xf numFmtId="3" fontId="16" fillId="0" borderId="0" xfId="4" applyNumberFormat="1" applyFont="1" applyBorder="1"/>
    <xf numFmtId="3" fontId="18" fillId="0" borderId="11" xfId="4" applyNumberFormat="1" applyFont="1" applyBorder="1"/>
    <xf numFmtId="3" fontId="16" fillId="0" borderId="8" xfId="4" applyNumberFormat="1" applyFont="1" applyBorder="1" applyAlignment="1">
      <alignment vertical="center"/>
    </xf>
    <xf numFmtId="3" fontId="15" fillId="0" borderId="17" xfId="4" applyNumberFormat="1" applyFont="1" applyBorder="1" applyAlignment="1"/>
    <xf numFmtId="3" fontId="22" fillId="0" borderId="0" xfId="4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4" fillId="0" borderId="31" xfId="5" applyFont="1" applyBorder="1" applyAlignment="1">
      <alignment horizontal="left" vertical="top" wrapText="1" indent="1"/>
    </xf>
    <xf numFmtId="164" fontId="0" fillId="0" borderId="1" xfId="1" applyNumberFormat="1" applyFont="1" applyFill="1" applyBorder="1"/>
    <xf numFmtId="0" fontId="24" fillId="0" borderId="32" xfId="5" applyFont="1" applyBorder="1" applyAlignment="1">
      <alignment horizontal="left" vertical="top" wrapText="1" indent="1"/>
    </xf>
    <xf numFmtId="164" fontId="0" fillId="0" borderId="2" xfId="1" applyNumberFormat="1" applyFont="1" applyFill="1" applyBorder="1"/>
    <xf numFmtId="168" fontId="0" fillId="0" borderId="1" xfId="1" applyNumberFormat="1" applyFont="1" applyBorder="1"/>
    <xf numFmtId="0" fontId="26" fillId="11" borderId="33" xfId="5" applyFont="1" applyFill="1" applyBorder="1" applyAlignment="1">
      <alignment horizontal="left" vertical="top" wrapText="1"/>
    </xf>
    <xf numFmtId="164" fontId="26" fillId="11" borderId="34" xfId="5" applyNumberFormat="1" applyFont="1" applyFill="1" applyBorder="1" applyAlignment="1">
      <alignment horizontal="left" vertical="top" wrapText="1"/>
    </xf>
    <xf numFmtId="0" fontId="24" fillId="0" borderId="35" xfId="5" applyFont="1" applyBorder="1" applyAlignment="1">
      <alignment horizontal="left" vertical="top" wrapText="1" indent="1"/>
    </xf>
    <xf numFmtId="0" fontId="28" fillId="11" borderId="33" xfId="5" applyFont="1" applyFill="1" applyBorder="1" applyAlignment="1">
      <alignment horizontal="left" vertical="top" wrapText="1"/>
    </xf>
    <xf numFmtId="164" fontId="28" fillId="11" borderId="37" xfId="5" applyNumberFormat="1" applyFont="1" applyFill="1" applyBorder="1" applyAlignment="1">
      <alignment horizontal="left" vertical="top" wrapText="1"/>
    </xf>
    <xf numFmtId="164" fontId="0" fillId="0" borderId="38" xfId="1" applyNumberFormat="1" applyFont="1" applyBorder="1"/>
    <xf numFmtId="164" fontId="26" fillId="11" borderId="37" xfId="5" applyNumberFormat="1" applyFont="1" applyFill="1" applyBorder="1" applyAlignment="1">
      <alignment horizontal="left" vertical="top" wrapText="1"/>
    </xf>
    <xf numFmtId="164" fontId="26" fillId="11" borderId="39" xfId="5" applyNumberFormat="1" applyFont="1" applyFill="1" applyBorder="1" applyAlignment="1">
      <alignment horizontal="left" vertical="top" wrapText="1"/>
    </xf>
    <xf numFmtId="164" fontId="0" fillId="0" borderId="40" xfId="1" applyNumberFormat="1" applyFont="1" applyBorder="1"/>
    <xf numFmtId="164" fontId="26" fillId="11" borderId="41" xfId="5" applyNumberFormat="1" applyFont="1" applyFill="1" applyBorder="1" applyAlignment="1">
      <alignment horizontal="left" vertical="top" wrapText="1"/>
    </xf>
    <xf numFmtId="164" fontId="2" fillId="0" borderId="3" xfId="1" applyNumberFormat="1" applyFont="1" applyBorder="1"/>
    <xf numFmtId="0" fontId="25" fillId="0" borderId="32" xfId="5" applyFont="1" applyBorder="1" applyAlignment="1">
      <alignment horizontal="left" vertical="top" wrapText="1" indent="1"/>
    </xf>
    <xf numFmtId="3" fontId="17" fillId="0" borderId="27" xfId="4" applyNumberFormat="1" applyFont="1" applyBorder="1" applyAlignment="1">
      <alignment horizontal="center"/>
    </xf>
    <xf numFmtId="3" fontId="15" fillId="5" borderId="28" xfId="4" applyNumberFormat="1" applyFont="1" applyFill="1" applyBorder="1" applyAlignment="1">
      <alignment horizontal="center" vertical="center"/>
    </xf>
    <xf numFmtId="3" fontId="16" fillId="0" borderId="3" xfId="4" applyNumberFormat="1" applyFont="1" applyBorder="1" applyAlignment="1">
      <alignment horizontal="center" vertical="center"/>
    </xf>
    <xf numFmtId="3" fontId="17" fillId="0" borderId="1" xfId="4" applyNumberFormat="1" applyFont="1" applyBorder="1" applyAlignment="1">
      <alignment horizontal="left" vertical="top"/>
    </xf>
    <xf numFmtId="3" fontId="16" fillId="0" borderId="5" xfId="4" applyNumberFormat="1" applyFont="1" applyBorder="1" applyAlignment="1">
      <alignment horizontal="center" vertical="center"/>
    </xf>
    <xf numFmtId="3" fontId="15" fillId="8" borderId="18" xfId="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169" fontId="0" fillId="0" borderId="5" xfId="6" applyNumberFormat="1" applyFont="1" applyBorder="1"/>
    <xf numFmtId="164" fontId="0" fillId="0" borderId="5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164" fontId="0" fillId="0" borderId="2" xfId="1" applyNumberFormat="1" applyFont="1" applyBorder="1"/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 applyAlignment="1">
      <alignment horizontal="left" indent="2"/>
    </xf>
    <xf numFmtId="0" fontId="0" fillId="3" borderId="1" xfId="0" applyFont="1" applyFill="1" applyBorder="1"/>
    <xf numFmtId="0" fontId="2" fillId="13" borderId="2" xfId="0" applyFont="1" applyFill="1" applyBorder="1"/>
    <xf numFmtId="164" fontId="2" fillId="13" borderId="2" xfId="1" applyNumberFormat="1" applyFont="1" applyFill="1" applyBorder="1"/>
    <xf numFmtId="0" fontId="2" fillId="9" borderId="0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29" fillId="0" borderId="0" xfId="0" quotePrefix="1" applyFont="1"/>
    <xf numFmtId="0" fontId="0" fillId="0" borderId="0" xfId="0" applyFill="1" applyAlignment="1">
      <alignment horizontal="center"/>
    </xf>
    <xf numFmtId="0" fontId="29" fillId="0" borderId="0" xfId="0" quotePrefix="1" applyFont="1" applyFill="1"/>
    <xf numFmtId="0" fontId="0" fillId="0" borderId="12" xfId="0" applyFill="1" applyBorder="1"/>
    <xf numFmtId="0" fontId="0" fillId="0" borderId="1" xfId="0" applyFill="1" applyBorder="1"/>
    <xf numFmtId="0" fontId="0" fillId="0" borderId="4" xfId="0" applyBorder="1"/>
    <xf numFmtId="9" fontId="0" fillId="0" borderId="5" xfId="0" applyNumberForma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0" fontId="8" fillId="0" borderId="1" xfId="0" applyFont="1" applyBorder="1" applyAlignment="1">
      <alignment horizontal="left" indent="2"/>
    </xf>
    <xf numFmtId="164" fontId="30" fillId="0" borderId="1" xfId="0" applyNumberFormat="1" applyFont="1" applyBorder="1"/>
    <xf numFmtId="164" fontId="0" fillId="0" borderId="11" xfId="1" applyNumberFormat="1" applyFont="1" applyBorder="1"/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Fill="1" applyBorder="1"/>
    <xf numFmtId="0" fontId="22" fillId="10" borderId="23" xfId="4" applyNumberFormat="1" applyFont="1" applyFill="1" applyBorder="1" applyAlignment="1">
      <alignment vertical="center"/>
    </xf>
    <xf numFmtId="3" fontId="15" fillId="8" borderId="19" xfId="4" applyNumberFormat="1" applyFont="1" applyFill="1" applyBorder="1" applyAlignment="1">
      <alignment vertical="center"/>
    </xf>
    <xf numFmtId="3" fontId="16" fillId="0" borderId="2" xfId="4" applyNumberFormat="1" applyFont="1" applyBorder="1" applyAlignment="1">
      <alignment horizontal="center" vertical="center"/>
    </xf>
    <xf numFmtId="3" fontId="18" fillId="0" borderId="42" xfId="4" applyNumberFormat="1" applyFont="1" applyBorder="1"/>
    <xf numFmtId="3" fontId="16" fillId="0" borderId="26" xfId="4" applyNumberFormat="1" applyFont="1" applyBorder="1" applyAlignment="1">
      <alignment horizontal="center"/>
    </xf>
    <xf numFmtId="3" fontId="18" fillId="0" borderId="27" xfId="4" applyNumberFormat="1" applyFont="1" applyBorder="1"/>
    <xf numFmtId="3" fontId="16" fillId="0" borderId="2" xfId="4" applyNumberFormat="1" applyFont="1" applyBorder="1" applyAlignment="1">
      <alignment vertical="center"/>
    </xf>
    <xf numFmtId="0" fontId="22" fillId="10" borderId="18" xfId="4" applyNumberFormat="1" applyFont="1" applyFill="1" applyBorder="1" applyAlignment="1">
      <alignment vertical="center"/>
    </xf>
    <xf numFmtId="0" fontId="22" fillId="10" borderId="19" xfId="4" applyNumberFormat="1" applyFont="1" applyFill="1" applyBorder="1" applyAlignment="1">
      <alignment vertical="center"/>
    </xf>
    <xf numFmtId="0" fontId="22" fillId="10" borderId="20" xfId="4" applyNumberFormat="1" applyFont="1" applyFill="1" applyBorder="1" applyAlignment="1">
      <alignment vertical="center"/>
    </xf>
    <xf numFmtId="164" fontId="28" fillId="11" borderId="34" xfId="5" applyNumberFormat="1" applyFont="1" applyFill="1" applyBorder="1" applyAlignment="1">
      <alignment horizontal="left" vertical="top" wrapText="1"/>
    </xf>
    <xf numFmtId="3" fontId="31" fillId="0" borderId="1" xfId="4" applyNumberFormat="1" applyFont="1" applyFill="1" applyBorder="1" applyAlignment="1">
      <alignment horizontal="right"/>
    </xf>
    <xf numFmtId="0" fontId="24" fillId="0" borderId="35" xfId="5" applyFont="1" applyFill="1" applyBorder="1" applyAlignment="1">
      <alignment horizontal="left" vertical="top" wrapText="1" indent="1"/>
    </xf>
    <xf numFmtId="164" fontId="0" fillId="0" borderId="36" xfId="1" applyNumberFormat="1" applyFont="1" applyFill="1" applyBorder="1"/>
    <xf numFmtId="0" fontId="0" fillId="6" borderId="0" xfId="0" applyFill="1" applyBorder="1"/>
    <xf numFmtId="3" fontId="16" fillId="6" borderId="1" xfId="4" applyNumberFormat="1" applyFont="1" applyFill="1" applyBorder="1" applyAlignment="1">
      <alignment horizontal="right"/>
    </xf>
    <xf numFmtId="0" fontId="32" fillId="6" borderId="0" xfId="0" applyFont="1" applyFill="1"/>
    <xf numFmtId="3" fontId="8" fillId="6" borderId="0" xfId="0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3" fontId="15" fillId="5" borderId="18" xfId="4" applyNumberFormat="1" applyFont="1" applyFill="1" applyBorder="1" applyAlignment="1">
      <alignment horizontal="center" vertical="center"/>
    </xf>
    <xf numFmtId="3" fontId="15" fillId="5" borderId="28" xfId="4" applyNumberFormat="1" applyFont="1" applyFill="1" applyBorder="1" applyAlignment="1">
      <alignment horizontal="center" vertical="center"/>
    </xf>
    <xf numFmtId="3" fontId="13" fillId="0" borderId="13" xfId="4" applyNumberFormat="1" applyBorder="1" applyAlignment="1">
      <alignment horizontal="center"/>
    </xf>
    <xf numFmtId="3" fontId="13" fillId="0" borderId="15" xfId="4" applyNumberFormat="1" applyBorder="1" applyAlignment="1">
      <alignment horizontal="center"/>
    </xf>
    <xf numFmtId="3" fontId="17" fillId="0" borderId="29" xfId="4" applyNumberFormat="1" applyFont="1" applyBorder="1" applyAlignment="1">
      <alignment horizontal="center"/>
    </xf>
    <xf numFmtId="3" fontId="17" fillId="0" borderId="30" xfId="4" applyNumberFormat="1" applyFont="1" applyBorder="1" applyAlignment="1">
      <alignment horizontal="center"/>
    </xf>
    <xf numFmtId="3" fontId="17" fillId="0" borderId="12" xfId="4" applyNumberFormat="1" applyFont="1" applyBorder="1" applyAlignment="1">
      <alignment horizontal="center"/>
    </xf>
    <xf numFmtId="3" fontId="17" fillId="0" borderId="0" xfId="4" applyNumberFormat="1" applyFont="1" applyBorder="1" applyAlignment="1">
      <alignment horizontal="center"/>
    </xf>
    <xf numFmtId="3" fontId="16" fillId="0" borderId="0" xfId="4" applyNumberFormat="1" applyFont="1" applyBorder="1" applyAlignment="1">
      <alignment horizontal="center"/>
    </xf>
    <xf numFmtId="3" fontId="16" fillId="0" borderId="21" xfId="4" applyNumberFormat="1" applyFont="1" applyFill="1" applyBorder="1" applyAlignment="1">
      <alignment horizontal="center" vertical="center"/>
    </xf>
    <xf numFmtId="3" fontId="16" fillId="0" borderId="14" xfId="4" applyNumberFormat="1" applyFont="1" applyFill="1" applyBorder="1" applyAlignment="1">
      <alignment horizontal="center" vertical="center"/>
    </xf>
    <xf numFmtId="3" fontId="17" fillId="0" borderId="12" xfId="4" applyNumberFormat="1" applyFont="1" applyBorder="1" applyAlignment="1">
      <alignment horizontal="left" vertical="top"/>
    </xf>
    <xf numFmtId="3" fontId="17" fillId="0" borderId="11" xfId="4" applyNumberFormat="1" applyFont="1" applyBorder="1" applyAlignment="1">
      <alignment horizontal="left" vertical="top"/>
    </xf>
    <xf numFmtId="3" fontId="20" fillId="0" borderId="12" xfId="4" applyNumberFormat="1" applyFont="1" applyBorder="1" applyAlignment="1">
      <alignment horizontal="left" vertical="top"/>
    </xf>
    <xf numFmtId="3" fontId="20" fillId="0" borderId="11" xfId="4" applyNumberFormat="1" applyFont="1" applyBorder="1" applyAlignment="1">
      <alignment horizontal="left" vertical="top"/>
    </xf>
    <xf numFmtId="3" fontId="16" fillId="0" borderId="6" xfId="4" applyNumberFormat="1" applyFont="1" applyBorder="1" applyAlignment="1">
      <alignment horizontal="center" vertical="center"/>
    </xf>
    <xf numFmtId="3" fontId="16" fillId="0" borderId="7" xfId="4" applyNumberFormat="1" applyFont="1" applyBorder="1" applyAlignment="1">
      <alignment horizontal="center" vertical="center"/>
    </xf>
    <xf numFmtId="3" fontId="17" fillId="0" borderId="12" xfId="4" applyNumberFormat="1" applyFont="1" applyFill="1" applyBorder="1" applyAlignment="1">
      <alignment horizontal="left" vertical="top"/>
    </xf>
    <xf numFmtId="3" fontId="17" fillId="0" borderId="11" xfId="4" applyNumberFormat="1" applyFont="1" applyFill="1" applyBorder="1" applyAlignment="1">
      <alignment horizontal="left" vertical="top"/>
    </xf>
    <xf numFmtId="3" fontId="16" fillId="9" borderId="18" xfId="4" applyNumberFormat="1" applyFont="1" applyFill="1" applyBorder="1" applyAlignment="1">
      <alignment horizontal="center"/>
    </xf>
    <xf numFmtId="3" fontId="16" fillId="9" borderId="19" xfId="4" applyNumberFormat="1" applyFont="1" applyFill="1" applyBorder="1" applyAlignment="1">
      <alignment horizontal="center"/>
    </xf>
    <xf numFmtId="3" fontId="16" fillId="0" borderId="19" xfId="4" applyNumberFormat="1" applyFont="1" applyBorder="1" applyAlignment="1">
      <alignment horizontal="center"/>
    </xf>
    <xf numFmtId="3" fontId="15" fillId="5" borderId="20" xfId="4" applyNumberFormat="1" applyFont="1" applyFill="1" applyBorder="1" applyAlignment="1">
      <alignment horizontal="center" vertical="center"/>
    </xf>
    <xf numFmtId="3" fontId="17" fillId="6" borderId="12" xfId="4" applyNumberFormat="1" applyFont="1" applyFill="1" applyBorder="1" applyAlignment="1">
      <alignment horizontal="left" vertical="top"/>
    </xf>
    <xf numFmtId="3" fontId="17" fillId="6" borderId="11" xfId="4" applyNumberFormat="1" applyFont="1" applyFill="1" applyBorder="1" applyAlignment="1">
      <alignment horizontal="left" vertical="top"/>
    </xf>
    <xf numFmtId="3" fontId="17" fillId="0" borderId="11" xfId="4" applyNumberFormat="1" applyFont="1" applyBorder="1" applyAlignment="1">
      <alignment horizontal="center"/>
    </xf>
    <xf numFmtId="3" fontId="16" fillId="0" borderId="21" xfId="4" applyNumberFormat="1" applyFont="1" applyBorder="1" applyAlignment="1">
      <alignment horizontal="center" vertical="center"/>
    </xf>
    <xf numFmtId="3" fontId="16" fillId="0" borderId="14" xfId="4" applyNumberFormat="1" applyFont="1" applyBorder="1" applyAlignment="1">
      <alignment horizontal="center" vertical="center"/>
    </xf>
    <xf numFmtId="3" fontId="16" fillId="9" borderId="20" xfId="4" applyNumberFormat="1" applyFont="1" applyFill="1" applyBorder="1" applyAlignment="1">
      <alignment horizontal="center"/>
    </xf>
    <xf numFmtId="3" fontId="17" fillId="0" borderId="25" xfId="4" applyNumberFormat="1" applyFont="1" applyBorder="1" applyAlignment="1">
      <alignment horizontal="center"/>
    </xf>
    <xf numFmtId="3" fontId="17" fillId="0" borderId="26" xfId="4" applyNumberFormat="1" applyFont="1" applyBorder="1" applyAlignment="1">
      <alignment horizontal="center"/>
    </xf>
    <xf numFmtId="3" fontId="17" fillId="0" borderId="24" xfId="4" applyNumberFormat="1" applyFont="1" applyBorder="1" applyAlignment="1">
      <alignment horizontal="center" vertical="top"/>
    </xf>
    <xf numFmtId="3" fontId="16" fillId="0" borderId="13" xfId="4" applyNumberFormat="1" applyFont="1" applyBorder="1" applyAlignment="1">
      <alignment horizontal="left" vertical="top"/>
    </xf>
    <xf numFmtId="3" fontId="16" fillId="0" borderId="15" xfId="4" applyNumberFormat="1" applyFont="1" applyBorder="1" applyAlignment="1">
      <alignment horizontal="left" vertical="top"/>
    </xf>
    <xf numFmtId="3" fontId="17" fillId="0" borderId="12" xfId="4" applyNumberFormat="1" applyFont="1" applyBorder="1" applyAlignment="1">
      <alignment horizontal="center" vertical="top"/>
    </xf>
    <xf numFmtId="3" fontId="17" fillId="0" borderId="11" xfId="4" applyNumberFormat="1" applyFont="1" applyBorder="1" applyAlignment="1">
      <alignment horizontal="center" vertical="top"/>
    </xf>
    <xf numFmtId="3" fontId="16" fillId="0" borderId="25" xfId="4" applyNumberFormat="1" applyFont="1" applyBorder="1" applyAlignment="1">
      <alignment horizontal="center"/>
    </xf>
    <xf numFmtId="3" fontId="16" fillId="0" borderId="26" xfId="4" applyNumberFormat="1" applyFont="1" applyBorder="1" applyAlignment="1">
      <alignment horizontal="center"/>
    </xf>
    <xf numFmtId="3" fontId="16" fillId="0" borderId="12" xfId="4" applyNumberFormat="1" applyFont="1" applyBorder="1" applyAlignment="1">
      <alignment horizontal="center" vertical="center"/>
    </xf>
    <xf numFmtId="3" fontId="16" fillId="0" borderId="0" xfId="4" applyNumberFormat="1" applyFont="1" applyAlignment="1">
      <alignment horizontal="center" vertical="center"/>
    </xf>
    <xf numFmtId="3" fontId="16" fillId="0" borderId="22" xfId="4" applyNumberFormat="1" applyFont="1" applyBorder="1" applyAlignment="1">
      <alignment horizontal="center" vertical="center"/>
    </xf>
    <xf numFmtId="3" fontId="16" fillId="0" borderId="13" xfId="4" applyNumberFormat="1" applyFont="1" applyBorder="1" applyAlignment="1">
      <alignment horizontal="center"/>
    </xf>
    <xf numFmtId="3" fontId="16" fillId="0" borderId="15" xfId="4" applyNumberFormat="1" applyFont="1" applyBorder="1" applyAlignment="1">
      <alignment horizontal="center"/>
    </xf>
    <xf numFmtId="3" fontId="17" fillId="0" borderId="13" xfId="4" applyNumberFormat="1" applyFont="1" applyBorder="1" applyAlignment="1">
      <alignment horizontal="center"/>
    </xf>
    <xf numFmtId="3" fontId="17" fillId="0" borderId="15" xfId="4" applyNumberFormat="1" applyFont="1" applyBorder="1" applyAlignment="1">
      <alignment horizontal="center"/>
    </xf>
    <xf numFmtId="3" fontId="17" fillId="0" borderId="21" xfId="4" applyNumberFormat="1" applyFont="1" applyBorder="1" applyAlignment="1">
      <alignment horizontal="left" vertical="top"/>
    </xf>
    <xf numFmtId="3" fontId="17" fillId="0" borderId="14" xfId="4" applyNumberFormat="1" applyFont="1" applyBorder="1" applyAlignment="1">
      <alignment horizontal="left" vertical="top"/>
    </xf>
    <xf numFmtId="3" fontId="16" fillId="9" borderId="6" xfId="4" applyNumberFormat="1" applyFont="1" applyFill="1" applyBorder="1" applyAlignment="1">
      <alignment horizontal="center"/>
    </xf>
    <xf numFmtId="3" fontId="16" fillId="9" borderId="8" xfId="4" applyNumberFormat="1" applyFont="1" applyFill="1" applyBorder="1" applyAlignment="1">
      <alignment horizontal="center"/>
    </xf>
    <xf numFmtId="3" fontId="16" fillId="0" borderId="6" xfId="4" applyNumberFormat="1" applyFont="1" applyBorder="1" applyAlignment="1">
      <alignment horizontal="center"/>
    </xf>
    <xf numFmtId="3" fontId="16" fillId="0" borderId="8" xfId="4" applyNumberFormat="1" applyFont="1" applyBorder="1" applyAlignment="1">
      <alignment horizontal="center"/>
    </xf>
    <xf numFmtId="3" fontId="17" fillId="0" borderId="21" xfId="4" applyNumberFormat="1" applyFont="1" applyBorder="1" applyAlignment="1">
      <alignment horizontal="center"/>
    </xf>
    <xf numFmtId="3" fontId="17" fillId="0" borderId="14" xfId="4" applyNumberFormat="1" applyFont="1" applyBorder="1" applyAlignment="1">
      <alignment horizontal="center"/>
    </xf>
  </cellXfs>
  <cellStyles count="7">
    <cellStyle name="Lien hypertexte" xfId="3" builtinId="8"/>
    <cellStyle name="Milliers" xfId="1" builtinId="3"/>
    <cellStyle name="Milliers 2" xfId="2" xr:uid="{063D71C8-8E7D-4DF3-A82E-1896BB14FED1}"/>
    <cellStyle name="Normal" xfId="0" builtinId="0"/>
    <cellStyle name="Normal 2" xfId="4" xr:uid="{140C5FB0-D466-478A-B14E-34661E2FD6DD}"/>
    <cellStyle name="Normal 3" xfId="5" xr:uid="{4A066D3F-2201-4451-8511-07C0B97D7CE6}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uck1.fr/vehicules-utilitaires/utilitaires-frigorifiques/mercedes-benz-sprinter-316-2-2-cdi-366-automaat-koelauto-dag-nacht-wer-a5411491.html" TargetMode="External"/><Relationship Id="rId2" Type="http://schemas.openxmlformats.org/officeDocument/2006/relationships/hyperlink" Target="https://www.transpalettemanuel.com/7-transpalette?product_id=20&amp;gclid=Cj0KCQjwzYGGBhCTARIsAHdMTQxWFde1QIOHohj6EaOa9x1l-3NiZi3xz5CQLLMXtB7DgKxnBGClGDoaAs8OEALw_wcB" TargetMode="External"/><Relationship Id="rId1" Type="http://schemas.openxmlformats.org/officeDocument/2006/relationships/hyperlink" Target="https://colddistribution.fr/chambre-froide/198-positive-384-m-3701180514536.html" TargetMode="External"/><Relationship Id="rId4" Type="http://schemas.openxmlformats.org/officeDocument/2006/relationships/hyperlink" Target="https://www.lenovo.com/fr/fr/laptops/thinkpad/edge-series/E14-G2/p/20TACTO1WWFRFR1?cid=fr:sem|se|google|G-FR-Shopping-PLA-Brand-CommercialLaptops||||12612228136|116738881101|pla-880044279268|shopping|brand&amp;gclid=Cj0KCQjwzYGGBhCTARIsAHdMTQxGE91zhc5K9IYrV_5fnrKmrtu26VirAp_9ySiN0YjUIPLrHpfnhb0aAnBuEALw_wc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echange.fr/energie/electricite/guides/prix-electricite-kwh-2435" TargetMode="External"/><Relationship Id="rId1" Type="http://schemas.openxmlformats.org/officeDocument/2006/relationships/hyperlink" Target="https://carbu.com/france/prixmoye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1812-636E-4FCE-B6BD-4DB9D7BEFEE8}">
  <dimension ref="B4:G55"/>
  <sheetViews>
    <sheetView showGridLines="0" workbookViewId="0">
      <selection activeCell="C14" sqref="C14"/>
    </sheetView>
  </sheetViews>
  <sheetFormatPr baseColWidth="10" defaultColWidth="25.7109375" defaultRowHeight="15"/>
  <cols>
    <col min="1" max="1" width="18" customWidth="1"/>
    <col min="2" max="2" width="32.140625" bestFit="1" customWidth="1"/>
  </cols>
  <sheetData>
    <row r="4" spans="2:7" ht="15" customHeight="1">
      <c r="B4" s="63" t="s">
        <v>18</v>
      </c>
      <c r="C4" s="62">
        <v>2022</v>
      </c>
      <c r="D4" s="62">
        <v>2023</v>
      </c>
      <c r="E4" s="62">
        <v>2024</v>
      </c>
      <c r="F4" s="66" t="s">
        <v>37</v>
      </c>
      <c r="G4" s="67" t="s">
        <v>33</v>
      </c>
    </row>
    <row r="5" spans="2:7" ht="15.75">
      <c r="B5" s="10" t="s">
        <v>19</v>
      </c>
      <c r="C5" s="11"/>
      <c r="D5" s="12"/>
      <c r="E5" s="12"/>
      <c r="F5" s="2"/>
      <c r="G5" s="2"/>
    </row>
    <row r="6" spans="2:7" ht="15.75">
      <c r="B6" s="13"/>
      <c r="C6" s="14"/>
      <c r="D6" s="15"/>
      <c r="E6" s="15"/>
      <c r="F6" s="16"/>
      <c r="G6" s="2"/>
    </row>
    <row r="7" spans="2:7">
      <c r="B7" s="17" t="s">
        <v>20</v>
      </c>
      <c r="C7" s="18">
        <f>SUM(C8:C11)</f>
        <v>20786</v>
      </c>
      <c r="D7" s="19"/>
      <c r="E7" s="19"/>
      <c r="F7" s="16"/>
      <c r="G7" s="2"/>
    </row>
    <row r="8" spans="2:7">
      <c r="B8" s="64" t="s">
        <v>29</v>
      </c>
      <c r="C8" s="21">
        <v>16450</v>
      </c>
      <c r="D8" s="22"/>
      <c r="E8" s="23"/>
      <c r="F8" s="16">
        <v>5</v>
      </c>
      <c r="G8" s="60" t="s">
        <v>35</v>
      </c>
    </row>
    <row r="9" spans="2:7">
      <c r="B9" s="64" t="s">
        <v>30</v>
      </c>
      <c r="C9" s="21">
        <v>319</v>
      </c>
      <c r="D9" s="22"/>
      <c r="E9" s="23"/>
      <c r="F9" s="16">
        <v>5</v>
      </c>
      <c r="G9" s="61" t="s">
        <v>34</v>
      </c>
    </row>
    <row r="10" spans="2:7">
      <c r="B10" s="64" t="s">
        <v>31</v>
      </c>
      <c r="C10" s="21">
        <v>3128</v>
      </c>
      <c r="D10" s="22"/>
      <c r="E10" s="23"/>
      <c r="F10" s="16">
        <v>5</v>
      </c>
      <c r="G10" s="61" t="s">
        <v>32</v>
      </c>
    </row>
    <row r="11" spans="2:7">
      <c r="B11" s="64" t="s">
        <v>70</v>
      </c>
      <c r="C11" s="21">
        <v>889</v>
      </c>
      <c r="D11" s="22"/>
      <c r="E11" s="23"/>
      <c r="F11" s="16">
        <v>5</v>
      </c>
      <c r="G11" s="61" t="s">
        <v>21</v>
      </c>
    </row>
    <row r="12" spans="2:7">
      <c r="B12" s="24"/>
      <c r="C12" s="21"/>
      <c r="D12" s="22"/>
      <c r="E12" s="23"/>
      <c r="F12" s="16"/>
      <c r="G12" s="2"/>
    </row>
    <row r="13" spans="2:7">
      <c r="B13" s="17" t="s">
        <v>22</v>
      </c>
      <c r="C13" s="18">
        <f>SUM(C14:C19)</f>
        <v>8000</v>
      </c>
      <c r="D13" s="25"/>
      <c r="E13" s="25"/>
      <c r="F13" s="16"/>
      <c r="G13" s="2"/>
    </row>
    <row r="14" spans="2:7">
      <c r="B14" s="64" t="s">
        <v>23</v>
      </c>
      <c r="C14" s="26">
        <v>1000</v>
      </c>
      <c r="D14" s="27"/>
      <c r="E14" s="27"/>
      <c r="F14" s="16">
        <v>10</v>
      </c>
      <c r="G14" s="2"/>
    </row>
    <row r="15" spans="2:7">
      <c r="B15" s="64" t="s">
        <v>36</v>
      </c>
      <c r="C15" s="21">
        <v>5000</v>
      </c>
      <c r="D15" s="27"/>
      <c r="E15" s="27"/>
      <c r="F15" s="16">
        <v>3</v>
      </c>
      <c r="G15" s="2"/>
    </row>
    <row r="16" spans="2:7">
      <c r="B16" s="64" t="s">
        <v>24</v>
      </c>
      <c r="C16" s="21">
        <v>1000</v>
      </c>
      <c r="D16" s="27"/>
      <c r="E16" s="27"/>
      <c r="F16" s="16">
        <v>3</v>
      </c>
      <c r="G16" s="2"/>
    </row>
    <row r="17" spans="2:7">
      <c r="B17" s="64" t="s">
        <v>25</v>
      </c>
      <c r="C17" s="21">
        <v>1000</v>
      </c>
      <c r="D17" s="27"/>
      <c r="E17" s="27"/>
      <c r="F17" s="16">
        <v>3</v>
      </c>
      <c r="G17" s="2"/>
    </row>
    <row r="18" spans="2:7">
      <c r="B18" s="20"/>
      <c r="C18" s="21"/>
      <c r="D18" s="27"/>
      <c r="E18" s="27"/>
      <c r="F18" s="16"/>
      <c r="G18" s="2"/>
    </row>
    <row r="19" spans="2:7">
      <c r="B19" s="20"/>
      <c r="C19" s="21"/>
      <c r="D19" s="27"/>
      <c r="E19" s="27"/>
      <c r="F19" s="16"/>
      <c r="G19" s="2"/>
    </row>
    <row r="20" spans="2:7" ht="15.75" thickBot="1">
      <c r="B20" s="28"/>
      <c r="C20" s="22"/>
      <c r="D20" s="22"/>
      <c r="E20" s="22"/>
      <c r="F20" s="2"/>
      <c r="G20" s="2"/>
    </row>
    <row r="21" spans="2:7" ht="16.5" thickBot="1">
      <c r="B21" s="29" t="s">
        <v>26</v>
      </c>
      <c r="C21" s="30">
        <f>C7+C13</f>
        <v>28786</v>
      </c>
      <c r="D21" s="30">
        <f>D7+D13</f>
        <v>0</v>
      </c>
      <c r="E21" s="30">
        <f>E7+E13</f>
        <v>0</v>
      </c>
      <c r="F21" s="31"/>
      <c r="G21" s="31"/>
    </row>
    <row r="23" spans="2:7">
      <c r="C23" s="9">
        <v>2022</v>
      </c>
      <c r="D23" s="9">
        <v>2023</v>
      </c>
      <c r="E23" s="9">
        <v>2024</v>
      </c>
    </row>
    <row r="24" spans="2:7" ht="15.75">
      <c r="B24" s="32" t="s">
        <v>27</v>
      </c>
      <c r="C24" s="8"/>
      <c r="D24" s="8"/>
      <c r="E24" s="8"/>
    </row>
    <row r="25" spans="2:7">
      <c r="B25" s="33"/>
      <c r="C25" s="34"/>
      <c r="D25" s="34"/>
      <c r="E25" s="34"/>
    </row>
    <row r="26" spans="2:7">
      <c r="B26" s="35" t="s">
        <v>20</v>
      </c>
      <c r="C26" s="36">
        <f>SUM(C27:C29)</f>
        <v>3979.4</v>
      </c>
      <c r="D26" s="36">
        <f>SUM(D27:D29)</f>
        <v>3979.4</v>
      </c>
      <c r="E26" s="36">
        <f>SUM(E27:E29)</f>
        <v>3979.4</v>
      </c>
    </row>
    <row r="27" spans="2:7">
      <c r="B27" s="65" t="s">
        <v>29</v>
      </c>
      <c r="C27" s="38">
        <f>C8/F8</f>
        <v>3290</v>
      </c>
      <c r="D27" s="38">
        <f t="shared" ref="D27:E27" si="0">$C$8/$F$8</f>
        <v>3290</v>
      </c>
      <c r="E27" s="38">
        <f t="shared" si="0"/>
        <v>3290</v>
      </c>
      <c r="F27" s="57"/>
    </row>
    <row r="28" spans="2:7">
      <c r="B28" s="65" t="s">
        <v>30</v>
      </c>
      <c r="C28" s="38">
        <f>$C$9/$F$9</f>
        <v>63.8</v>
      </c>
      <c r="D28" s="38">
        <f t="shared" ref="D28:E28" si="1">$C$9/$F$9</f>
        <v>63.8</v>
      </c>
      <c r="E28" s="38">
        <f t="shared" si="1"/>
        <v>63.8</v>
      </c>
    </row>
    <row r="29" spans="2:7">
      <c r="B29" s="65" t="s">
        <v>31</v>
      </c>
      <c r="C29" s="38">
        <f>$C$10/$F$10</f>
        <v>625.6</v>
      </c>
      <c r="D29" s="38">
        <f t="shared" ref="D29:E29" si="2">$C$10/$F$10</f>
        <v>625.6</v>
      </c>
      <c r="E29" s="38">
        <f t="shared" si="2"/>
        <v>625.6</v>
      </c>
    </row>
    <row r="30" spans="2:7">
      <c r="B30" s="65" t="s">
        <v>21</v>
      </c>
      <c r="C30" s="38">
        <f>$C$11/$F$11</f>
        <v>177.8</v>
      </c>
      <c r="D30" s="38">
        <f t="shared" ref="D30:E30" si="3">$C$11/$F$11</f>
        <v>177.8</v>
      </c>
      <c r="E30" s="38">
        <f t="shared" si="3"/>
        <v>177.8</v>
      </c>
    </row>
    <row r="31" spans="2:7">
      <c r="B31" s="39"/>
      <c r="C31" s="38"/>
      <c r="D31" s="38"/>
      <c r="E31" s="38"/>
    </row>
    <row r="32" spans="2:7">
      <c r="B32" s="35" t="s">
        <v>22</v>
      </c>
      <c r="C32" s="36">
        <f>SUM(C33:C36)</f>
        <v>2433.3333333333335</v>
      </c>
      <c r="D32" s="36">
        <f>SUM(D33:D36)</f>
        <v>2433.3333333333335</v>
      </c>
      <c r="E32" s="36">
        <f>SUM(E33:E36)</f>
        <v>2433.3333333333335</v>
      </c>
    </row>
    <row r="33" spans="2:5">
      <c r="B33" s="65" t="s">
        <v>23</v>
      </c>
      <c r="C33" s="38">
        <f>$C$14/$F$14</f>
        <v>100</v>
      </c>
      <c r="D33" s="38">
        <f t="shared" ref="D33:E33" si="4">$C$14/$F$14</f>
        <v>100</v>
      </c>
      <c r="E33" s="38">
        <f t="shared" si="4"/>
        <v>100</v>
      </c>
    </row>
    <row r="34" spans="2:5">
      <c r="B34" s="65" t="s">
        <v>36</v>
      </c>
      <c r="C34" s="38">
        <f>$C$15/$F$15</f>
        <v>1666.6666666666667</v>
      </c>
      <c r="D34" s="38">
        <f t="shared" ref="D34:E34" si="5">$C$15/$F$15</f>
        <v>1666.6666666666667</v>
      </c>
      <c r="E34" s="38">
        <f t="shared" si="5"/>
        <v>1666.6666666666667</v>
      </c>
    </row>
    <row r="35" spans="2:5">
      <c r="B35" s="65" t="s">
        <v>24</v>
      </c>
      <c r="C35" s="38">
        <f>$C$16/$F$16</f>
        <v>333.33333333333331</v>
      </c>
      <c r="D35" s="38">
        <f t="shared" ref="D35:E35" si="6">$C$16/$F$16</f>
        <v>333.33333333333331</v>
      </c>
      <c r="E35" s="38">
        <f t="shared" si="6"/>
        <v>333.33333333333331</v>
      </c>
    </row>
    <row r="36" spans="2:5">
      <c r="B36" s="65" t="s">
        <v>25</v>
      </c>
      <c r="C36" s="38">
        <f>$C$17/$F$17</f>
        <v>333.33333333333331</v>
      </c>
      <c r="D36" s="38">
        <f t="shared" ref="D36:E36" si="7">$C$17/$F$17</f>
        <v>333.33333333333331</v>
      </c>
      <c r="E36" s="38">
        <f t="shared" si="7"/>
        <v>333.33333333333331</v>
      </c>
    </row>
    <row r="37" spans="2:5" ht="15.75" thickBot="1">
      <c r="B37" s="37"/>
      <c r="C37" s="40"/>
      <c r="D37" s="40"/>
      <c r="E37" s="40"/>
    </row>
    <row r="38" spans="2:5" ht="16.5" thickBot="1">
      <c r="B38" s="41" t="s">
        <v>26</v>
      </c>
      <c r="C38" s="42">
        <f>C26+C32</f>
        <v>6412.7333333333336</v>
      </c>
      <c r="D38" s="42">
        <f>D26+D32</f>
        <v>6412.7333333333336</v>
      </c>
      <c r="E38" s="42">
        <f>E26+E32</f>
        <v>6412.7333333333336</v>
      </c>
    </row>
    <row r="39" spans="2:5">
      <c r="C39" s="43"/>
      <c r="D39" s="43"/>
      <c r="E39" s="43"/>
    </row>
    <row r="40" spans="2:5">
      <c r="B40" s="44"/>
      <c r="C40" s="9">
        <v>2022</v>
      </c>
      <c r="D40" s="9">
        <v>2023</v>
      </c>
      <c r="E40" s="9">
        <v>2024</v>
      </c>
    </row>
    <row r="41" spans="2:5" ht="15.75">
      <c r="B41" s="45" t="s">
        <v>28</v>
      </c>
      <c r="C41" s="46"/>
      <c r="D41" s="46"/>
      <c r="E41" s="46"/>
    </row>
    <row r="42" spans="2:5">
      <c r="B42" s="47"/>
      <c r="C42" s="48"/>
      <c r="D42" s="48"/>
      <c r="E42" s="48"/>
    </row>
    <row r="43" spans="2:5">
      <c r="B43" s="49" t="s">
        <v>20</v>
      </c>
      <c r="C43" s="50">
        <f>SUM(C44:C47)</f>
        <v>16628.8</v>
      </c>
      <c r="D43" s="50">
        <f>SUM(D44:D47)</f>
        <v>12471.599999999999</v>
      </c>
      <c r="E43" s="50">
        <f>SUM(E44:E47)</f>
        <v>8314.4</v>
      </c>
    </row>
    <row r="44" spans="2:5">
      <c r="B44" s="51" t="s">
        <v>29</v>
      </c>
      <c r="C44" s="51">
        <f>$C$8-SUM($C$27:C27)</f>
        <v>13160</v>
      </c>
      <c r="D44" s="51">
        <f>$C$8-SUM($C$27:D27)</f>
        <v>9870</v>
      </c>
      <c r="E44" s="51">
        <f>$C$8-SUM($C$27:E27)</f>
        <v>6580</v>
      </c>
    </row>
    <row r="45" spans="2:5">
      <c r="B45" s="51" t="s">
        <v>30</v>
      </c>
      <c r="C45" s="51">
        <f>$C$9-SUM($C$28:C28)</f>
        <v>255.2</v>
      </c>
      <c r="D45" s="51">
        <f>$C$9-SUM($C$28:D28)</f>
        <v>191.4</v>
      </c>
      <c r="E45" s="51">
        <f>$C$9-SUM($C$28:E28)</f>
        <v>127.60000000000002</v>
      </c>
    </row>
    <row r="46" spans="2:5">
      <c r="B46" s="51" t="s">
        <v>31</v>
      </c>
      <c r="C46" s="51">
        <f>$C$10-SUM($C$29:C29)</f>
        <v>2502.4</v>
      </c>
      <c r="D46" s="51">
        <f>$C$10-SUM($C$29:D29)</f>
        <v>1876.8</v>
      </c>
      <c r="E46" s="51">
        <f>$C$10-SUM($C$29:E29)</f>
        <v>1251.1999999999998</v>
      </c>
    </row>
    <row r="47" spans="2:5">
      <c r="B47" s="51" t="s">
        <v>21</v>
      </c>
      <c r="C47" s="51">
        <f>$C$11-SUM($C$30:C30)</f>
        <v>711.2</v>
      </c>
      <c r="D47" s="51">
        <f>$C$11-SUM($C$30:D30)</f>
        <v>533.4</v>
      </c>
      <c r="E47" s="51">
        <f>$C$11-SUM($C$30:E30)</f>
        <v>355.59999999999991</v>
      </c>
    </row>
    <row r="48" spans="2:5">
      <c r="B48" s="47"/>
      <c r="C48" s="52"/>
      <c r="D48" s="52"/>
      <c r="E48" s="52"/>
    </row>
    <row r="49" spans="2:5">
      <c r="B49" s="49" t="s">
        <v>22</v>
      </c>
      <c r="C49" s="53">
        <f>SUM(C50:C53)</f>
        <v>5566.666666666667</v>
      </c>
      <c r="D49" s="53">
        <f>SUM(D50:D53)</f>
        <v>3133.3333333333335</v>
      </c>
      <c r="E49" s="53">
        <f>SUM(E50:E53)</f>
        <v>700</v>
      </c>
    </row>
    <row r="50" spans="2:5">
      <c r="B50" s="51" t="s">
        <v>23</v>
      </c>
      <c r="C50" s="54">
        <f>$C$14-SUM($C$33:C33)</f>
        <v>900</v>
      </c>
      <c r="D50" s="54">
        <f>$C$14-SUM($C$33:D33)</f>
        <v>800</v>
      </c>
      <c r="E50" s="54">
        <f>$C$14-SUM($C$33:E33)</f>
        <v>700</v>
      </c>
    </row>
    <row r="51" spans="2:5">
      <c r="B51" s="51" t="s">
        <v>36</v>
      </c>
      <c r="C51" s="54">
        <f>$C$15-SUM($C$34:C34)</f>
        <v>3333.333333333333</v>
      </c>
      <c r="D51" s="54">
        <f>$C$15-SUM($C$34:D34)</f>
        <v>1666.6666666666665</v>
      </c>
      <c r="E51" s="54">
        <f>$C$15-SUM($C$34:E34)</f>
        <v>0</v>
      </c>
    </row>
    <row r="52" spans="2:5">
      <c r="B52" s="51" t="s">
        <v>24</v>
      </c>
      <c r="C52" s="54">
        <f>$C$16-SUM($C$35:C35)</f>
        <v>666.66666666666674</v>
      </c>
      <c r="D52" s="54">
        <f>$C$16-SUM($C$35:D35)</f>
        <v>333.33333333333337</v>
      </c>
      <c r="E52" s="54">
        <f>$C$16-SUM($C$35:E35)</f>
        <v>0</v>
      </c>
    </row>
    <row r="53" spans="2:5">
      <c r="B53" s="51" t="s">
        <v>25</v>
      </c>
      <c r="C53" s="54">
        <f>$C$17-SUM($C$36:C36)</f>
        <v>666.66666666666674</v>
      </c>
      <c r="D53" s="54">
        <f>$C$17-SUM($C$36:D36)</f>
        <v>333.33333333333337</v>
      </c>
      <c r="E53" s="54">
        <f>$C$17-SUM($C$36:E36)</f>
        <v>0</v>
      </c>
    </row>
    <row r="54" spans="2:5" ht="15.75" thickBot="1">
      <c r="B54" s="47"/>
      <c r="C54" s="54"/>
      <c r="D54" s="54"/>
      <c r="E54" s="54"/>
    </row>
    <row r="55" spans="2:5" ht="16.5" thickBot="1">
      <c r="B55" s="55" t="s">
        <v>26</v>
      </c>
      <c r="C55" s="56">
        <f>C49+C43</f>
        <v>22195.466666666667</v>
      </c>
      <c r="D55" s="56">
        <f>D49+D43</f>
        <v>15604.933333333332</v>
      </c>
      <c r="E55" s="56">
        <f>E49+E43</f>
        <v>9014.4</v>
      </c>
    </row>
  </sheetData>
  <protectedRanges>
    <protectedRange sqref="B18" name="Plage1"/>
    <protectedRange sqref="B19" name="Plage1_1"/>
    <protectedRange sqref="B16 B35 B52" name="Plage1_2"/>
    <protectedRange sqref="B17 B36 B53" name="Plage1_1_1"/>
  </protectedRanges>
  <hyperlinks>
    <hyperlink ref="G10" r:id="rId1" xr:uid="{AEB42336-771B-4CBC-89FF-08B4F89D04A0}"/>
    <hyperlink ref="G9" r:id="rId2" xr:uid="{158762AB-768B-4207-9986-BA0DD693E7C2}"/>
    <hyperlink ref="G8" r:id="rId3" xr:uid="{B6BC81F7-46D9-4EE3-BC69-CF7D8CB132BC}"/>
    <hyperlink ref="G11" r:id="rId4" xr:uid="{E700D8B8-4FB8-4C38-9ACE-B886DC2360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DC14F-9FC8-4186-B81E-AABC47B12BE3}">
  <dimension ref="B2:F26"/>
  <sheetViews>
    <sheetView showGridLines="0" workbookViewId="0">
      <selection activeCell="D5" sqref="D5"/>
    </sheetView>
  </sheetViews>
  <sheetFormatPr baseColWidth="10" defaultColWidth="20.7109375" defaultRowHeight="15" outlineLevelRow="1"/>
  <sheetData>
    <row r="2" spans="2:6" ht="15.75">
      <c r="B2" s="225" t="s">
        <v>44</v>
      </c>
      <c r="C2" s="226"/>
      <c r="D2" s="226"/>
      <c r="E2" s="226"/>
      <c r="F2" s="227"/>
    </row>
    <row r="3" spans="2:6" ht="15.75">
      <c r="B3" s="174"/>
      <c r="C3" s="174"/>
      <c r="D3" s="174"/>
      <c r="E3" s="174"/>
      <c r="F3" s="174"/>
    </row>
    <row r="4" spans="2:6" ht="15.75">
      <c r="B4" s="174"/>
      <c r="C4" s="88" t="s">
        <v>52</v>
      </c>
      <c r="D4" s="177">
        <v>3.5000000000000003E-2</v>
      </c>
      <c r="E4" s="174"/>
      <c r="F4" s="174"/>
    </row>
    <row r="5" spans="2:6" ht="15.75">
      <c r="B5" s="174"/>
      <c r="C5" s="68" t="s">
        <v>145</v>
      </c>
      <c r="D5" s="178">
        <v>35000</v>
      </c>
      <c r="E5" s="174"/>
      <c r="F5" s="174"/>
    </row>
    <row r="6" spans="2:6" ht="15.75">
      <c r="B6" s="174"/>
      <c r="C6" s="68" t="s">
        <v>146</v>
      </c>
      <c r="D6" s="178">
        <v>7</v>
      </c>
      <c r="E6" s="174"/>
      <c r="F6" s="174"/>
    </row>
    <row r="7" spans="2:6" ht="15.75">
      <c r="B7" s="174"/>
      <c r="C7" s="176"/>
      <c r="D7" s="176"/>
      <c r="E7" s="174"/>
      <c r="F7" s="174"/>
    </row>
    <row r="9" spans="2:6">
      <c r="B9" s="68" t="s">
        <v>45</v>
      </c>
      <c r="C9" s="68" t="s">
        <v>46</v>
      </c>
      <c r="D9" s="68" t="s">
        <v>47</v>
      </c>
      <c r="E9" s="68" t="s">
        <v>48</v>
      </c>
      <c r="F9" s="68" t="s">
        <v>27</v>
      </c>
    </row>
    <row r="10" spans="2:6">
      <c r="B10" s="2">
        <v>1</v>
      </c>
      <c r="C10" s="70">
        <f>D5</f>
        <v>35000</v>
      </c>
      <c r="D10" s="70">
        <f>C10*(($D$4)/(1-(1+$D$4)^-$D$6))</f>
        <v>5724.0572824130231</v>
      </c>
      <c r="E10" s="70">
        <f>C10*$D$4</f>
        <v>1225.0000000000002</v>
      </c>
      <c r="F10" s="70">
        <f>D10-E10</f>
        <v>4499.0572824130231</v>
      </c>
    </row>
    <row r="11" spans="2:6">
      <c r="B11" s="2">
        <v>2</v>
      </c>
      <c r="C11" s="70">
        <f>C10-F10</f>
        <v>30500.942717586979</v>
      </c>
      <c r="D11" s="70">
        <f>D10</f>
        <v>5724.0572824130231</v>
      </c>
      <c r="E11" s="70">
        <f t="shared" ref="E11:E25" si="0">C11*$D$4</f>
        <v>1067.5329951155443</v>
      </c>
      <c r="F11" s="70">
        <f t="shared" ref="F11:F25" si="1">D11-E11</f>
        <v>4656.5242872974786</v>
      </c>
    </row>
    <row r="12" spans="2:6">
      <c r="B12" s="2">
        <v>3</v>
      </c>
      <c r="C12" s="70">
        <f t="shared" ref="C12:C25" si="2">C11-F11</f>
        <v>25844.418430289501</v>
      </c>
      <c r="D12" s="70">
        <f t="shared" ref="D12:D24" si="3">D11</f>
        <v>5724.0572824130231</v>
      </c>
      <c r="E12" s="70">
        <f t="shared" si="0"/>
        <v>904.55464506013266</v>
      </c>
      <c r="F12" s="70">
        <f t="shared" si="1"/>
        <v>4819.5026373528908</v>
      </c>
    </row>
    <row r="13" spans="2:6">
      <c r="B13" s="2">
        <v>4</v>
      </c>
      <c r="C13" s="70">
        <f t="shared" si="2"/>
        <v>21024.915792936612</v>
      </c>
      <c r="D13" s="70">
        <f t="shared" si="3"/>
        <v>5724.0572824130231</v>
      </c>
      <c r="E13" s="70">
        <f t="shared" si="0"/>
        <v>735.87205275278154</v>
      </c>
      <c r="F13" s="70">
        <f t="shared" si="1"/>
        <v>4988.1852296602419</v>
      </c>
    </row>
    <row r="14" spans="2:6">
      <c r="B14" s="2">
        <v>5</v>
      </c>
      <c r="C14" s="70">
        <f t="shared" si="2"/>
        <v>16036.730563276371</v>
      </c>
      <c r="D14" s="70">
        <f t="shared" si="3"/>
        <v>5724.0572824130231</v>
      </c>
      <c r="E14" s="70">
        <f t="shared" si="0"/>
        <v>561.28556971467299</v>
      </c>
      <c r="F14" s="70">
        <f t="shared" si="1"/>
        <v>5162.7717126983498</v>
      </c>
    </row>
    <row r="15" spans="2:6">
      <c r="B15" s="2">
        <v>6</v>
      </c>
      <c r="C15" s="70">
        <f t="shared" si="2"/>
        <v>10873.958850578021</v>
      </c>
      <c r="D15" s="70">
        <f t="shared" si="3"/>
        <v>5724.0572824130231</v>
      </c>
      <c r="E15" s="70">
        <f t="shared" si="0"/>
        <v>380.5885597702308</v>
      </c>
      <c r="F15" s="70">
        <f t="shared" si="1"/>
        <v>5343.4687226427923</v>
      </c>
    </row>
    <row r="16" spans="2:6">
      <c r="B16" s="2">
        <v>7</v>
      </c>
      <c r="C16" s="70">
        <f t="shared" si="2"/>
        <v>5530.4901279352289</v>
      </c>
      <c r="D16" s="70">
        <f t="shared" si="3"/>
        <v>5724.0572824130231</v>
      </c>
      <c r="E16" s="70">
        <f t="shared" si="0"/>
        <v>193.56715447773303</v>
      </c>
      <c r="F16" s="70">
        <f t="shared" si="1"/>
        <v>5530.4901279352898</v>
      </c>
    </row>
    <row r="17" spans="2:6">
      <c r="B17" s="2">
        <v>8</v>
      </c>
      <c r="C17" s="70">
        <f t="shared" si="2"/>
        <v>-6.0936145018786192E-11</v>
      </c>
      <c r="D17" s="70">
        <v>0</v>
      </c>
      <c r="E17" s="70">
        <f t="shared" si="0"/>
        <v>-2.1327650756575169E-12</v>
      </c>
      <c r="F17" s="70">
        <f t="shared" si="1"/>
        <v>2.1327650756575169E-12</v>
      </c>
    </row>
    <row r="18" spans="2:6" hidden="1" outlineLevel="1">
      <c r="B18" s="2">
        <v>9</v>
      </c>
      <c r="C18" s="70">
        <f t="shared" si="2"/>
        <v>-6.3068910094443708E-11</v>
      </c>
      <c r="D18" s="70">
        <f t="shared" si="3"/>
        <v>0</v>
      </c>
      <c r="E18" s="70">
        <f t="shared" si="0"/>
        <v>-2.2074118533055301E-12</v>
      </c>
      <c r="F18" s="70">
        <f t="shared" si="1"/>
        <v>2.2074118533055301E-12</v>
      </c>
    </row>
    <row r="19" spans="2:6" hidden="1" outlineLevel="1">
      <c r="B19" s="2">
        <v>10</v>
      </c>
      <c r="C19" s="70">
        <f t="shared" si="2"/>
        <v>-6.5276321947749239E-11</v>
      </c>
      <c r="D19" s="70">
        <f t="shared" si="3"/>
        <v>0</v>
      </c>
      <c r="E19" s="70">
        <f t="shared" si="0"/>
        <v>-2.2846712681712235E-12</v>
      </c>
      <c r="F19" s="70">
        <f t="shared" si="1"/>
        <v>2.2846712681712235E-12</v>
      </c>
    </row>
    <row r="20" spans="2:6" hidden="1" outlineLevel="1">
      <c r="B20" s="2">
        <v>11</v>
      </c>
      <c r="C20" s="70">
        <f t="shared" si="2"/>
        <v>-6.7560993215920463E-11</v>
      </c>
      <c r="D20" s="70">
        <f t="shared" si="3"/>
        <v>0</v>
      </c>
      <c r="E20" s="70">
        <f t="shared" si="0"/>
        <v>-2.3646347625572165E-12</v>
      </c>
      <c r="F20" s="70">
        <f t="shared" si="1"/>
        <v>2.3646347625572165E-12</v>
      </c>
    </row>
    <row r="21" spans="2:6" hidden="1" outlineLevel="1">
      <c r="B21" s="2">
        <v>12</v>
      </c>
      <c r="C21" s="70">
        <f t="shared" si="2"/>
        <v>-6.9925627978477685E-11</v>
      </c>
      <c r="D21" s="70">
        <f t="shared" si="3"/>
        <v>0</v>
      </c>
      <c r="E21" s="70">
        <f t="shared" si="0"/>
        <v>-2.4473969792467191E-12</v>
      </c>
      <c r="F21" s="70">
        <f t="shared" si="1"/>
        <v>2.4473969792467191E-12</v>
      </c>
    </row>
    <row r="22" spans="2:6" hidden="1" outlineLevel="1">
      <c r="B22" s="2">
        <v>13</v>
      </c>
      <c r="C22" s="70">
        <f t="shared" si="2"/>
        <v>-7.2373024957724401E-11</v>
      </c>
      <c r="D22" s="70">
        <f t="shared" si="3"/>
        <v>0</v>
      </c>
      <c r="E22" s="70">
        <f t="shared" si="0"/>
        <v>-2.5330558735203542E-12</v>
      </c>
      <c r="F22" s="70">
        <f t="shared" si="1"/>
        <v>2.5330558735203542E-12</v>
      </c>
    </row>
    <row r="23" spans="2:6" hidden="1" outlineLevel="1">
      <c r="B23" s="2">
        <v>14</v>
      </c>
      <c r="C23" s="70">
        <f t="shared" si="2"/>
        <v>-7.490608083124476E-11</v>
      </c>
      <c r="D23" s="70">
        <f t="shared" si="3"/>
        <v>0</v>
      </c>
      <c r="E23" s="70">
        <f t="shared" si="0"/>
        <v>-2.6217128290935668E-12</v>
      </c>
      <c r="F23" s="70">
        <f t="shared" si="1"/>
        <v>2.6217128290935668E-12</v>
      </c>
    </row>
    <row r="24" spans="2:6" hidden="1" outlineLevel="1">
      <c r="B24" s="2">
        <v>15</v>
      </c>
      <c r="C24" s="70">
        <f t="shared" si="2"/>
        <v>-7.7527793660338323E-11</v>
      </c>
      <c r="D24" s="70">
        <f t="shared" si="3"/>
        <v>0</v>
      </c>
      <c r="E24" s="70">
        <f t="shared" si="0"/>
        <v>-2.7134727781118415E-12</v>
      </c>
      <c r="F24" s="70">
        <f t="shared" si="1"/>
        <v>2.7134727781118415E-12</v>
      </c>
    </row>
    <row r="25" spans="2:6" hidden="1" outlineLevel="1">
      <c r="B25" s="31"/>
      <c r="C25" s="202">
        <f t="shared" si="2"/>
        <v>-8.0241266438450166E-11</v>
      </c>
      <c r="D25" s="70"/>
      <c r="E25" s="70">
        <f t="shared" si="0"/>
        <v>-2.808444325345756E-12</v>
      </c>
      <c r="F25" s="70">
        <f t="shared" si="1"/>
        <v>2.808444325345756E-12</v>
      </c>
    </row>
    <row r="26" spans="2:6" collapsed="1">
      <c r="B26" s="79" t="s">
        <v>26</v>
      </c>
      <c r="C26" s="80"/>
      <c r="D26" s="81">
        <f>SUM(D10:D24)</f>
        <v>40068.400976891156</v>
      </c>
      <c r="E26" s="82">
        <f>SUM(E10:E24)</f>
        <v>5068.4009768910764</v>
      </c>
      <c r="F26" s="80"/>
    </row>
  </sheetData>
  <mergeCells count="1">
    <mergeCell ref="B2:F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33E3-D1D3-4C43-AB96-098D120D4B0C}">
  <dimension ref="B3:J19"/>
  <sheetViews>
    <sheetView showGridLines="0" tabSelected="1" workbookViewId="0">
      <selection activeCell="B17" sqref="B17"/>
    </sheetView>
  </sheetViews>
  <sheetFormatPr baseColWidth="10" defaultColWidth="20.7109375" defaultRowHeight="15"/>
  <cols>
    <col min="1" max="1" width="14.28515625" customWidth="1"/>
    <col min="2" max="2" width="27.85546875" bestFit="1" customWidth="1"/>
    <col min="6" max="6" width="8" customWidth="1"/>
    <col min="8" max="8" width="29" bestFit="1" customWidth="1"/>
  </cols>
  <sheetData>
    <row r="3" spans="2:10">
      <c r="B3" s="176" t="s">
        <v>152</v>
      </c>
      <c r="C3" s="175" t="s">
        <v>153</v>
      </c>
    </row>
    <row r="4" spans="2:10">
      <c r="B4" t="s">
        <v>148</v>
      </c>
      <c r="C4" t="s">
        <v>149</v>
      </c>
    </row>
    <row r="5" spans="2:10">
      <c r="B5" s="190">
        <v>14</v>
      </c>
      <c r="C5" s="190">
        <v>300</v>
      </c>
      <c r="D5" s="191"/>
    </row>
    <row r="7" spans="2:10">
      <c r="B7" s="176" t="s">
        <v>55</v>
      </c>
      <c r="C7" s="175" t="s">
        <v>153</v>
      </c>
    </row>
    <row r="8" spans="2:10">
      <c r="B8" t="s">
        <v>148</v>
      </c>
      <c r="C8" t="s">
        <v>149</v>
      </c>
    </row>
    <row r="9" spans="2:10">
      <c r="B9" s="190">
        <v>12</v>
      </c>
      <c r="C9" s="190">
        <v>300</v>
      </c>
      <c r="D9" s="191"/>
    </row>
    <row r="10" spans="2:10" s="59" customFormat="1">
      <c r="B10" s="192"/>
      <c r="C10" s="192"/>
      <c r="D10" s="193"/>
    </row>
    <row r="12" spans="2:10">
      <c r="C12" s="180" t="s">
        <v>147</v>
      </c>
      <c r="D12" s="180" t="s">
        <v>147</v>
      </c>
      <c r="E12" s="180" t="s">
        <v>147</v>
      </c>
    </row>
    <row r="13" spans="2:10">
      <c r="B13" s="92"/>
      <c r="C13" s="181">
        <v>2022</v>
      </c>
      <c r="D13" s="181">
        <v>2023</v>
      </c>
      <c r="E13" s="181">
        <v>2024</v>
      </c>
      <c r="H13" s="189">
        <v>2023</v>
      </c>
      <c r="I13" s="189">
        <v>2024</v>
      </c>
    </row>
    <row r="14" spans="2:10">
      <c r="B14" s="83" t="s">
        <v>53</v>
      </c>
      <c r="C14" s="70">
        <f>B5*C5</f>
        <v>4200</v>
      </c>
      <c r="D14" s="70">
        <f>C14*H14</f>
        <v>4620</v>
      </c>
      <c r="E14" s="70">
        <f>D14*I14</f>
        <v>5313</v>
      </c>
      <c r="G14" t="s">
        <v>150</v>
      </c>
      <c r="H14" s="190">
        <v>1.1000000000000001</v>
      </c>
      <c r="I14" s="190">
        <v>1.1499999999999999</v>
      </c>
      <c r="J14" s="191"/>
    </row>
    <row r="15" spans="2:10">
      <c r="B15" s="83" t="s">
        <v>54</v>
      </c>
      <c r="C15" s="70">
        <v>10</v>
      </c>
      <c r="D15" s="70">
        <f>C15*H15</f>
        <v>10.3</v>
      </c>
      <c r="E15" s="70">
        <f>D15*I15</f>
        <v>10.609000000000002</v>
      </c>
      <c r="G15" t="s">
        <v>151</v>
      </c>
      <c r="H15" s="190">
        <v>1.03</v>
      </c>
      <c r="I15" s="190">
        <v>1.03</v>
      </c>
      <c r="J15" s="191"/>
    </row>
    <row r="16" spans="2:10">
      <c r="B16" s="83"/>
      <c r="C16" s="70"/>
      <c r="D16" s="70"/>
      <c r="E16" s="70"/>
    </row>
    <row r="17" spans="2:10">
      <c r="B17" s="83" t="s">
        <v>179</v>
      </c>
      <c r="C17" s="70">
        <f>B9*C9</f>
        <v>3600</v>
      </c>
      <c r="D17" s="70">
        <f>C17*H17</f>
        <v>3960.0000000000005</v>
      </c>
      <c r="E17" s="70">
        <f>D17*I17</f>
        <v>4554</v>
      </c>
      <c r="G17" t="s">
        <v>150</v>
      </c>
      <c r="H17" s="190">
        <v>1.1000000000000001</v>
      </c>
      <c r="I17" s="190">
        <v>1.1499999999999999</v>
      </c>
      <c r="J17" s="191"/>
    </row>
    <row r="18" spans="2:10">
      <c r="B18" s="83" t="s">
        <v>178</v>
      </c>
      <c r="C18" s="70">
        <v>10</v>
      </c>
      <c r="D18" s="70">
        <f>C18*H18</f>
        <v>10.3</v>
      </c>
      <c r="E18" s="70">
        <f>D18*I18</f>
        <v>10.609000000000002</v>
      </c>
      <c r="G18" t="s">
        <v>151</v>
      </c>
      <c r="H18" s="190">
        <v>1.03</v>
      </c>
      <c r="I18" s="190">
        <v>1.03</v>
      </c>
      <c r="J18" s="191"/>
    </row>
    <row r="19" spans="2:10">
      <c r="B19" s="89"/>
      <c r="C19" s="182"/>
      <c r="D19" s="182"/>
      <c r="E19" s="1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6087-A4B8-450E-A118-D3EAE586C2C6}">
  <dimension ref="B2:K59"/>
  <sheetViews>
    <sheetView showGridLines="0" topLeftCell="A6" zoomScaleNormal="100" workbookViewId="0">
      <selection activeCell="C49" sqref="C49"/>
    </sheetView>
  </sheetViews>
  <sheetFormatPr baseColWidth="10" defaultColWidth="20.7109375" defaultRowHeight="15"/>
  <cols>
    <col min="2" max="2" width="32.5703125" bestFit="1" customWidth="1"/>
    <col min="7" max="7" width="16.28515625" customWidth="1"/>
  </cols>
  <sheetData>
    <row r="2" spans="2:11">
      <c r="C2" s="69">
        <v>44926</v>
      </c>
      <c r="D2" s="69">
        <v>45291</v>
      </c>
      <c r="E2" s="69">
        <v>45657</v>
      </c>
      <c r="F2" s="69" t="s">
        <v>38</v>
      </c>
      <c r="G2" s="71"/>
    </row>
    <row r="3" spans="2:11">
      <c r="B3" s="98" t="s">
        <v>144</v>
      </c>
      <c r="C3" s="99">
        <f>SUM(C4:C11)</f>
        <v>28091.730728000002</v>
      </c>
      <c r="D3" s="99">
        <f t="shared" ref="D3:E3" si="0">SUM(D4:D11)</f>
        <v>20796.682649840001</v>
      </c>
      <c r="E3" s="99">
        <f t="shared" si="0"/>
        <v>21366.727129335202</v>
      </c>
      <c r="F3" s="98"/>
      <c r="G3" s="72"/>
    </row>
    <row r="4" spans="2:11">
      <c r="B4" s="2" t="s">
        <v>4</v>
      </c>
      <c r="C4" s="70">
        <f>700</f>
        <v>700</v>
      </c>
      <c r="D4" s="70">
        <f>C4*(1+$F$4)</f>
        <v>721</v>
      </c>
      <c r="E4" s="70">
        <f>D4*(1+$F$4)</f>
        <v>742.63</v>
      </c>
      <c r="F4" s="74">
        <v>0.03</v>
      </c>
      <c r="G4" s="72"/>
    </row>
    <row r="5" spans="2:11">
      <c r="B5" s="2" t="s">
        <v>5</v>
      </c>
      <c r="C5" s="70">
        <v>50</v>
      </c>
      <c r="D5" s="70">
        <f>C5*(1+$F$5)</f>
        <v>51.5</v>
      </c>
      <c r="E5" s="70">
        <f>D5*(1+$F$5)</f>
        <v>53.045000000000002</v>
      </c>
      <c r="F5" s="74">
        <v>0.03</v>
      </c>
      <c r="G5" s="72"/>
    </row>
    <row r="6" spans="2:11">
      <c r="B6" s="2" t="s">
        <v>6</v>
      </c>
      <c r="C6" s="70">
        <f>G6*8*50</f>
        <v>569.20000000000005</v>
      </c>
      <c r="D6" s="70">
        <f>C6*1.03</f>
        <v>586.27600000000007</v>
      </c>
      <c r="E6" s="70">
        <f>D6*1.03</f>
        <v>603.86428000000012</v>
      </c>
      <c r="F6" s="74">
        <v>0.03</v>
      </c>
      <c r="G6" s="73">
        <v>1.423</v>
      </c>
    </row>
    <row r="7" spans="2:11">
      <c r="B7" s="2" t="s">
        <v>7</v>
      </c>
      <c r="C7" s="70">
        <f>(1043*24*365)/1000*$G$7</f>
        <v>1412.530728</v>
      </c>
      <c r="D7" s="70">
        <f>C7*(1+$F$7)</f>
        <v>1454.90664984</v>
      </c>
      <c r="E7" s="70">
        <f>D7*(1+$F$7)</f>
        <v>1498.5538493352001</v>
      </c>
      <c r="F7" s="74">
        <v>0.03</v>
      </c>
      <c r="G7" s="73">
        <v>0.15459999999999999</v>
      </c>
    </row>
    <row r="8" spans="2:11">
      <c r="B8" s="2" t="s">
        <v>8</v>
      </c>
      <c r="C8" s="70">
        <v>80</v>
      </c>
      <c r="D8" s="70">
        <f>C8*(1+$F$8)</f>
        <v>82.4</v>
      </c>
      <c r="E8" s="70">
        <f>D8*(1+$F$8)</f>
        <v>84.872000000000014</v>
      </c>
      <c r="F8" s="74">
        <v>0.03</v>
      </c>
      <c r="G8" s="72"/>
    </row>
    <row r="9" spans="2:11">
      <c r="B9" s="2" t="s">
        <v>9</v>
      </c>
      <c r="C9" s="70">
        <v>500</v>
      </c>
      <c r="D9" s="70">
        <f>C9*(1+$F$9)</f>
        <v>515</v>
      </c>
      <c r="E9" s="70">
        <f>D9*(1+$F$9)</f>
        <v>530.45000000000005</v>
      </c>
      <c r="F9" s="74">
        <v>0.03</v>
      </c>
      <c r="G9" s="196"/>
      <c r="H9" s="179" t="s">
        <v>155</v>
      </c>
      <c r="I9" s="179" t="s">
        <v>156</v>
      </c>
      <c r="J9" s="179" t="s">
        <v>157</v>
      </c>
      <c r="K9" s="179" t="s">
        <v>158</v>
      </c>
    </row>
    <row r="10" spans="2:11">
      <c r="B10" s="194" t="s">
        <v>154</v>
      </c>
      <c r="C10" s="70">
        <f>J10*K10</f>
        <v>5280</v>
      </c>
      <c r="D10" s="70">
        <f>C10*1.02</f>
        <v>5385.6</v>
      </c>
      <c r="E10" s="70">
        <f>D10*1.02</f>
        <v>5493.3120000000008</v>
      </c>
      <c r="F10" s="74">
        <v>0.02</v>
      </c>
      <c r="G10" s="91"/>
      <c r="H10" s="197">
        <v>0.08</v>
      </c>
      <c r="I10" s="179">
        <v>2200</v>
      </c>
      <c r="J10" s="179">
        <f>H10*I10</f>
        <v>176</v>
      </c>
      <c r="K10" s="179">
        <v>30</v>
      </c>
    </row>
    <row r="11" spans="2:11">
      <c r="B11" s="194" t="s">
        <v>174</v>
      </c>
      <c r="C11" s="70">
        <f>19500</f>
        <v>19500</v>
      </c>
      <c r="D11" s="70">
        <f>12000</f>
        <v>12000</v>
      </c>
      <c r="E11" s="70">
        <f>D11*1.03</f>
        <v>12360</v>
      </c>
      <c r="F11" s="74"/>
      <c r="G11" s="91"/>
      <c r="H11" s="203"/>
      <c r="I11" s="204"/>
      <c r="J11" s="204"/>
      <c r="K11" s="204"/>
    </row>
    <row r="12" spans="2:11">
      <c r="B12" s="90"/>
      <c r="C12" s="70"/>
      <c r="D12" s="70"/>
      <c r="E12" s="70"/>
      <c r="F12" s="74"/>
      <c r="G12" s="91"/>
    </row>
    <row r="13" spans="2:11">
      <c r="B13" s="95" t="s">
        <v>57</v>
      </c>
      <c r="C13" s="96"/>
      <c r="D13" s="96"/>
      <c r="E13" s="96"/>
      <c r="F13" s="97"/>
      <c r="G13" s="91"/>
    </row>
    <row r="14" spans="2:11">
      <c r="B14" s="205" t="s">
        <v>60</v>
      </c>
      <c r="C14" s="70">
        <f>SUM(C15:C18)</f>
        <v>10000</v>
      </c>
      <c r="D14" s="70">
        <f>SUM(D15:D18)</f>
        <v>12000</v>
      </c>
      <c r="E14" s="70">
        <f>SUM(E15:E18)</f>
        <v>14400</v>
      </c>
      <c r="F14" s="74"/>
      <c r="G14" s="91"/>
    </row>
    <row r="15" spans="2:11">
      <c r="B15" s="3" t="s">
        <v>61</v>
      </c>
      <c r="C15" s="86">
        <v>2500</v>
      </c>
      <c r="D15" s="86">
        <f>C15*1.2</f>
        <v>3000</v>
      </c>
      <c r="E15" s="86">
        <f>D15*1.2</f>
        <v>3600</v>
      </c>
      <c r="F15" s="74"/>
      <c r="G15" s="91"/>
    </row>
    <row r="16" spans="2:11">
      <c r="B16" s="3" t="s">
        <v>62</v>
      </c>
      <c r="C16" s="86">
        <v>2500</v>
      </c>
      <c r="D16" s="86">
        <f>C16*1.2</f>
        <v>3000</v>
      </c>
      <c r="E16" s="86">
        <f>D16*1.2</f>
        <v>3600</v>
      </c>
      <c r="F16" s="74"/>
      <c r="G16" s="91"/>
    </row>
    <row r="17" spans="2:7">
      <c r="B17" s="3" t="s">
        <v>63</v>
      </c>
      <c r="C17" s="86">
        <v>2500</v>
      </c>
      <c r="D17" s="86">
        <f t="shared" ref="D17:E17" si="1">C17*1.2</f>
        <v>3000</v>
      </c>
      <c r="E17" s="86">
        <f t="shared" si="1"/>
        <v>3600</v>
      </c>
      <c r="F17" s="74"/>
      <c r="G17" s="91"/>
    </row>
    <row r="18" spans="2:7">
      <c r="B18" s="3" t="s">
        <v>64</v>
      </c>
      <c r="C18" s="86">
        <v>2500</v>
      </c>
      <c r="D18" s="86">
        <f t="shared" ref="D18:E18" si="2">C18*1.2</f>
        <v>3000</v>
      </c>
      <c r="E18" s="86">
        <f t="shared" si="2"/>
        <v>3600</v>
      </c>
      <c r="F18" s="74"/>
      <c r="G18" s="91"/>
    </row>
    <row r="19" spans="2:7">
      <c r="B19" s="2" t="s">
        <v>65</v>
      </c>
      <c r="C19" s="70">
        <f>SUM(C20:C24)</f>
        <v>1429</v>
      </c>
      <c r="D19" s="70"/>
      <c r="E19" s="70"/>
      <c r="F19" s="74"/>
      <c r="G19" s="91"/>
    </row>
    <row r="20" spans="2:7">
      <c r="B20" s="195" t="s">
        <v>66</v>
      </c>
      <c r="C20" s="86">
        <v>228</v>
      </c>
      <c r="D20" s="70"/>
      <c r="E20" s="70"/>
      <c r="F20" s="74"/>
      <c r="G20" s="91"/>
    </row>
    <row r="21" spans="2:7">
      <c r="B21" s="195" t="s">
        <v>67</v>
      </c>
      <c r="C21" s="86">
        <v>29</v>
      </c>
      <c r="D21" s="70"/>
      <c r="E21" s="70"/>
      <c r="F21" s="74"/>
      <c r="G21" s="91"/>
    </row>
    <row r="22" spans="2:7" ht="14.25" customHeight="1">
      <c r="B22" s="195" t="s">
        <v>68</v>
      </c>
      <c r="C22" s="86">
        <v>103</v>
      </c>
      <c r="D22" s="70"/>
      <c r="E22" s="70"/>
      <c r="F22" s="74"/>
      <c r="G22" s="91"/>
    </row>
    <row r="23" spans="2:7">
      <c r="B23" s="195" t="s">
        <v>69</v>
      </c>
      <c r="C23" s="86">
        <v>129</v>
      </c>
      <c r="D23" s="70"/>
      <c r="E23" s="70"/>
      <c r="F23" s="74"/>
      <c r="G23" s="91"/>
    </row>
    <row r="24" spans="2:7">
      <c r="B24" s="195" t="s">
        <v>71</v>
      </c>
      <c r="C24" s="86">
        <f>235*4</f>
        <v>940</v>
      </c>
      <c r="D24" s="70"/>
      <c r="E24" s="70"/>
      <c r="F24" s="74"/>
      <c r="G24" s="91"/>
    </row>
    <row r="25" spans="2:7">
      <c r="B25" s="2" t="s">
        <v>58</v>
      </c>
      <c r="C25" s="77">
        <f>C26+C27</f>
        <v>804</v>
      </c>
      <c r="D25" s="77">
        <f t="shared" ref="D25:E25" si="3">D26+D27</f>
        <v>859.2</v>
      </c>
      <c r="E25" s="77">
        <f t="shared" si="3"/>
        <v>925.44</v>
      </c>
      <c r="F25" s="74"/>
    </row>
    <row r="26" spans="2:7">
      <c r="B26" s="195" t="s">
        <v>72</v>
      </c>
      <c r="C26" s="86">
        <f>0.023*1000*12</f>
        <v>276</v>
      </c>
      <c r="D26" s="86">
        <f>C26*1.2</f>
        <v>331.2</v>
      </c>
      <c r="E26" s="86">
        <f>D26*1.2</f>
        <v>397.44</v>
      </c>
      <c r="F26" s="74"/>
    </row>
    <row r="27" spans="2:7">
      <c r="B27" s="195" t="s">
        <v>73</v>
      </c>
      <c r="C27" s="86">
        <f>0.44*100*12</f>
        <v>528</v>
      </c>
      <c r="D27" s="86">
        <f t="shared" ref="D27:E27" si="4">0.44*100*12</f>
        <v>528</v>
      </c>
      <c r="E27" s="86">
        <f t="shared" si="4"/>
        <v>528</v>
      </c>
      <c r="F27" s="74"/>
    </row>
    <row r="28" spans="2:7">
      <c r="B28" s="2" t="s">
        <v>59</v>
      </c>
      <c r="C28" s="70"/>
      <c r="D28" s="70"/>
      <c r="E28" s="70"/>
      <c r="F28" s="74"/>
    </row>
    <row r="29" spans="2:7">
      <c r="B29" s="1"/>
      <c r="C29" s="2"/>
      <c r="D29" s="2"/>
      <c r="E29" s="2"/>
      <c r="F29" s="2"/>
    </row>
    <row r="30" spans="2:7">
      <c r="B30" s="93" t="s">
        <v>43</v>
      </c>
      <c r="C30" s="94"/>
      <c r="D30" s="93"/>
      <c r="E30" s="93"/>
      <c r="F30" s="93" t="s">
        <v>38</v>
      </c>
    </row>
    <row r="31" spans="2:7">
      <c r="B31" s="1" t="s">
        <v>39</v>
      </c>
      <c r="C31" s="75">
        <f>SUM(C32:C41)</f>
        <v>57378.48</v>
      </c>
      <c r="D31" s="75">
        <f t="shared" ref="D31:E31" si="5">SUM(D32:D41)</f>
        <v>65778.360000000015</v>
      </c>
      <c r="E31" s="75">
        <f t="shared" si="5"/>
        <v>75018.228000000017</v>
      </c>
      <c r="F31" s="76">
        <v>0.1</v>
      </c>
    </row>
    <row r="32" spans="2:7">
      <c r="B32" s="85" t="s">
        <v>159</v>
      </c>
      <c r="C32" s="86">
        <f>1554*(4/5)*12</f>
        <v>14918.400000000001</v>
      </c>
      <c r="D32" s="86">
        <f>C32*(1+$F$31)</f>
        <v>16410.240000000002</v>
      </c>
      <c r="E32" s="86">
        <f>D32*(1+$F$31)</f>
        <v>18051.264000000003</v>
      </c>
      <c r="F32" s="74"/>
    </row>
    <row r="33" spans="2:7">
      <c r="B33" s="85" t="s">
        <v>160</v>
      </c>
      <c r="C33" s="86">
        <f>(1554*0.51)*12</f>
        <v>9510.48</v>
      </c>
      <c r="D33" s="86">
        <f>C33*(1+$F$31)</f>
        <v>10461.528</v>
      </c>
      <c r="E33" s="86">
        <f>D33*(1+$F$31)</f>
        <v>11507.680800000002</v>
      </c>
      <c r="F33" s="74"/>
    </row>
    <row r="34" spans="2:7">
      <c r="B34" s="200" t="s">
        <v>161</v>
      </c>
      <c r="C34" s="86">
        <f>-(666.67*12)</f>
        <v>-8000.0399999999991</v>
      </c>
      <c r="D34" s="86">
        <f>C34</f>
        <v>-8000.0399999999991</v>
      </c>
      <c r="E34" s="86">
        <f>D34</f>
        <v>-8000.0399999999991</v>
      </c>
      <c r="F34" s="74"/>
    </row>
    <row r="35" spans="2:7">
      <c r="B35" s="85" t="s">
        <v>162</v>
      </c>
      <c r="C35" s="86">
        <f>(1554*0.78)*12</f>
        <v>14545.440000000002</v>
      </c>
      <c r="D35" s="86">
        <f>C35*(1+$F$31)</f>
        <v>15999.984000000004</v>
      </c>
      <c r="E35" s="86">
        <f>D35*(1+$F$31)</f>
        <v>17599.982400000004</v>
      </c>
      <c r="F35" s="74"/>
    </row>
    <row r="36" spans="2:7">
      <c r="B36" s="200" t="s">
        <v>163</v>
      </c>
      <c r="C36" s="86">
        <f>-(666.67*12)</f>
        <v>-8000.0399999999991</v>
      </c>
      <c r="D36" s="86">
        <f>C36</f>
        <v>-8000.0399999999991</v>
      </c>
      <c r="E36" s="86">
        <f>D36</f>
        <v>-8000.0399999999991</v>
      </c>
      <c r="F36" s="74"/>
    </row>
    <row r="37" spans="2:7">
      <c r="B37" s="85" t="s">
        <v>164</v>
      </c>
      <c r="C37" s="86">
        <f>(1554*0.7)*12</f>
        <v>13053.599999999999</v>
      </c>
      <c r="D37" s="86">
        <f>C37*(1+$F$31)</f>
        <v>14358.96</v>
      </c>
      <c r="E37" s="86">
        <f>D37*(1+$F$31)</f>
        <v>15794.856</v>
      </c>
      <c r="F37" s="74"/>
    </row>
    <row r="38" spans="2:7">
      <c r="B38" s="200" t="s">
        <v>165</v>
      </c>
      <c r="C38" s="86">
        <f>-(444.16)*12</f>
        <v>-5329.92</v>
      </c>
      <c r="D38" s="86">
        <f>C38</f>
        <v>-5329.92</v>
      </c>
      <c r="E38" s="86">
        <f>D38</f>
        <v>-5329.92</v>
      </c>
      <c r="F38" s="84"/>
      <c r="G38" t="s">
        <v>56</v>
      </c>
    </row>
    <row r="39" spans="2:7">
      <c r="B39" s="85" t="s">
        <v>166</v>
      </c>
      <c r="C39" s="86">
        <f>(1110.24)*12</f>
        <v>13322.880000000001</v>
      </c>
      <c r="D39" s="86">
        <f>C39*(1+$F$31)</f>
        <v>14655.168000000001</v>
      </c>
      <c r="E39" s="86">
        <f>D39*(1+$F$31)</f>
        <v>16120.684800000003</v>
      </c>
      <c r="F39" s="84"/>
      <c r="G39" s="58"/>
    </row>
    <row r="40" spans="2:7">
      <c r="B40" s="200" t="s">
        <v>167</v>
      </c>
      <c r="C40" s="86">
        <f>-(440.86)*12</f>
        <v>-5290.32</v>
      </c>
      <c r="D40" s="86">
        <f>C40</f>
        <v>-5290.32</v>
      </c>
      <c r="E40" s="86">
        <f>D40</f>
        <v>-5290.32</v>
      </c>
      <c r="F40" s="84"/>
    </row>
    <row r="41" spans="2:7">
      <c r="B41" s="85" t="s">
        <v>168</v>
      </c>
      <c r="C41" s="86">
        <f>1554*12</f>
        <v>18648</v>
      </c>
      <c r="D41" s="86">
        <f>C41*(1+$F$31)</f>
        <v>20512.800000000003</v>
      </c>
      <c r="E41" s="86">
        <f>D41*(1+$F$31)</f>
        <v>22564.080000000005</v>
      </c>
      <c r="F41" s="84"/>
    </row>
    <row r="42" spans="2:7">
      <c r="B42" s="1" t="s">
        <v>40</v>
      </c>
      <c r="C42" s="78">
        <f>SUM(C43:C46)</f>
        <v>12718.614960000001</v>
      </c>
      <c r="D42" s="78">
        <f t="shared" ref="D42:E42" si="6">SUM(D43:D46)</f>
        <v>13990.476456000004</v>
      </c>
      <c r="E42" s="78">
        <f t="shared" si="6"/>
        <v>15389.524101600002</v>
      </c>
      <c r="F42" s="2"/>
    </row>
    <row r="43" spans="2:7">
      <c r="B43" s="85" t="s">
        <v>171</v>
      </c>
      <c r="C43" s="201">
        <f>0.23*(C32+C41)</f>
        <v>7720.2720000000008</v>
      </c>
      <c r="D43" s="201">
        <f t="shared" ref="D43:E43" si="7">0.23*(D32+D41)</f>
        <v>8492.2992000000031</v>
      </c>
      <c r="E43" s="201">
        <f t="shared" si="7"/>
        <v>9341.5291200000029</v>
      </c>
      <c r="F43" s="2"/>
    </row>
    <row r="44" spans="2:7">
      <c r="B44" s="85" t="s">
        <v>172</v>
      </c>
      <c r="C44" s="201">
        <f>0.1895*C37</f>
        <v>2473.6571999999996</v>
      </c>
      <c r="D44" s="201">
        <f>0.1895*D37</f>
        <v>2721.0229199999999</v>
      </c>
      <c r="E44" s="201">
        <f t="shared" ref="E44" si="8">0.1895*E37</f>
        <v>2993.1252119999999</v>
      </c>
      <c r="F44" s="2"/>
    </row>
    <row r="45" spans="2:7">
      <c r="B45" s="85" t="s">
        <v>173</v>
      </c>
      <c r="C45" s="201">
        <f>0.1895*C39</f>
        <v>2524.6857600000003</v>
      </c>
      <c r="D45" s="201">
        <f>0.1895*D39</f>
        <v>2777.1543360000005</v>
      </c>
      <c r="E45" s="201">
        <f>0.1895*E39</f>
        <v>3054.8697696000004</v>
      </c>
      <c r="F45" s="2"/>
    </row>
    <row r="46" spans="2:7" ht="6" customHeight="1">
      <c r="B46" s="1"/>
      <c r="C46" s="78"/>
      <c r="D46" s="78"/>
      <c r="E46" s="78"/>
      <c r="F46" s="2"/>
    </row>
    <row r="47" spans="2:7">
      <c r="B47" s="1" t="s">
        <v>41</v>
      </c>
      <c r="C47" s="78">
        <f>C31-C42</f>
        <v>44659.865040000004</v>
      </c>
      <c r="D47" s="78">
        <f>D31-D42</f>
        <v>51787.883544000011</v>
      </c>
      <c r="E47" s="78">
        <f>E31-E42</f>
        <v>59628.703898400017</v>
      </c>
      <c r="F47" s="2"/>
    </row>
    <row r="48" spans="2:7" ht="6" customHeight="1">
      <c r="B48" s="1"/>
      <c r="C48" s="78"/>
      <c r="D48" s="78"/>
      <c r="E48" s="78"/>
      <c r="F48" s="2"/>
    </row>
    <row r="49" spans="2:7">
      <c r="B49" s="1" t="s">
        <v>42</v>
      </c>
      <c r="C49" s="78">
        <f>0.42*(C31-C39)</f>
        <v>18503.352000000003</v>
      </c>
      <c r="D49" s="78">
        <f t="shared" ref="D49:E49" si="9">0.42*(D31-D39)</f>
        <v>21471.740640000004</v>
      </c>
      <c r="E49" s="78">
        <f t="shared" si="9"/>
        <v>24736.968144000006</v>
      </c>
      <c r="F49" s="2"/>
    </row>
    <row r="50" spans="2:7" ht="6" customHeight="1">
      <c r="B50" s="90"/>
      <c r="C50" s="2"/>
      <c r="D50" s="2"/>
      <c r="E50" s="2"/>
      <c r="F50" s="72"/>
    </row>
    <row r="51" spans="2:7">
      <c r="B51" s="93" t="s">
        <v>49</v>
      </c>
      <c r="C51" s="94"/>
      <c r="D51" s="93"/>
      <c r="E51" s="93"/>
      <c r="F51" s="93" t="s">
        <v>38</v>
      </c>
    </row>
    <row r="52" spans="2:7">
      <c r="B52" s="1" t="s">
        <v>39</v>
      </c>
      <c r="C52" s="75">
        <f>C53+C54</f>
        <v>2500</v>
      </c>
      <c r="D52" s="75">
        <f t="shared" ref="D52" si="10">D53+D54</f>
        <v>2750</v>
      </c>
      <c r="E52" s="75">
        <f>E53+E54</f>
        <v>3025.0000000000005</v>
      </c>
      <c r="F52" s="76">
        <v>0.1</v>
      </c>
      <c r="G52" t="s">
        <v>56</v>
      </c>
    </row>
    <row r="53" spans="2:7">
      <c r="B53" s="3" t="s">
        <v>50</v>
      </c>
      <c r="C53" s="86">
        <v>1000</v>
      </c>
      <c r="D53" s="86">
        <f>C53*(1+$F$52)</f>
        <v>1100</v>
      </c>
      <c r="E53" s="86">
        <f>D53*(1+$F$52)</f>
        <v>1210</v>
      </c>
      <c r="F53" s="84"/>
    </row>
    <row r="54" spans="2:7">
      <c r="B54" s="3" t="s">
        <v>51</v>
      </c>
      <c r="C54" s="86">
        <v>1500</v>
      </c>
      <c r="D54" s="86">
        <f>C54*(1+$F$52)</f>
        <v>1650.0000000000002</v>
      </c>
      <c r="E54" s="86">
        <f>D54*(1+$F$52)</f>
        <v>1815.0000000000005</v>
      </c>
      <c r="F54" s="84"/>
    </row>
    <row r="55" spans="2:7">
      <c r="B55" s="1" t="s">
        <v>40</v>
      </c>
      <c r="C55" s="78">
        <f>0.23*C52</f>
        <v>575</v>
      </c>
      <c r="D55" s="78">
        <f>0.23*D52</f>
        <v>632.5</v>
      </c>
      <c r="E55" s="78">
        <f>0.23*E52</f>
        <v>695.75000000000011</v>
      </c>
      <c r="F55" s="2"/>
    </row>
    <row r="56" spans="2:7" ht="6" customHeight="1">
      <c r="B56" s="1"/>
      <c r="C56" s="78"/>
      <c r="D56" s="78"/>
      <c r="E56" s="78"/>
      <c r="F56" s="2"/>
    </row>
    <row r="57" spans="2:7">
      <c r="B57" s="1" t="s">
        <v>41</v>
      </c>
      <c r="C57" s="78">
        <f>C52-C55</f>
        <v>1925</v>
      </c>
      <c r="D57" s="78">
        <f>D52-D55</f>
        <v>2117.5</v>
      </c>
      <c r="E57" s="78">
        <f>E52-E55</f>
        <v>2329.2500000000005</v>
      </c>
      <c r="F57" s="2"/>
    </row>
    <row r="58" spans="2:7" ht="6" customHeight="1">
      <c r="B58" s="1"/>
      <c r="C58" s="78"/>
      <c r="D58" s="78"/>
      <c r="E58" s="78"/>
      <c r="F58" s="2"/>
    </row>
    <row r="59" spans="2:7">
      <c r="B59" s="198" t="s">
        <v>42</v>
      </c>
      <c r="C59" s="199">
        <f>0.42*C52</f>
        <v>1050</v>
      </c>
      <c r="D59" s="199">
        <f>0.42*D52</f>
        <v>1155</v>
      </c>
      <c r="E59" s="199">
        <f>0.42*E52</f>
        <v>1270.5000000000002</v>
      </c>
      <c r="F59" s="31"/>
    </row>
  </sheetData>
  <hyperlinks>
    <hyperlink ref="G6" r:id="rId1" display="https://carbu.com/france/prixmoyens" xr:uid="{24947C74-2D39-4098-A778-7C2478E9C4A1}"/>
    <hyperlink ref="G7" r:id="rId2" display="https://www.jechange.fr/energie/electricite/guides/prix-electricite-kwh-2435" xr:uid="{D025A424-90C8-4FE3-8CD7-8E792138997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F949-E08F-49C1-812A-EE06E4A85E0E}">
  <sheetPr>
    <tabColor theme="8" tint="-0.249977111117893"/>
  </sheetPr>
  <dimension ref="C4:G38"/>
  <sheetViews>
    <sheetView showGridLines="0" topLeftCell="B15" workbookViewId="0">
      <selection activeCell="B8" sqref="B8"/>
    </sheetView>
  </sheetViews>
  <sheetFormatPr baseColWidth="10" defaultColWidth="25.7109375" defaultRowHeight="15"/>
  <cols>
    <col min="3" max="3" width="42.85546875" bestFit="1" customWidth="1"/>
  </cols>
  <sheetData>
    <row r="4" spans="3:6">
      <c r="D4" s="180" t="s">
        <v>147</v>
      </c>
      <c r="E4" s="180" t="s">
        <v>147</v>
      </c>
      <c r="F4" s="180" t="s">
        <v>147</v>
      </c>
    </row>
    <row r="5" spans="3:6">
      <c r="C5" s="6"/>
      <c r="D5" s="181">
        <v>2022</v>
      </c>
      <c r="E5" s="181">
        <v>2023</v>
      </c>
      <c r="F5" s="181">
        <v>2024</v>
      </c>
    </row>
    <row r="6" spans="3:6">
      <c r="C6" s="1" t="s">
        <v>0</v>
      </c>
      <c r="D6" s="166">
        <f>(Ventes!C14*Ventes!C15)+(Ventes!C17*Ventes!C18)</f>
        <v>78000</v>
      </c>
      <c r="E6" s="166">
        <f>(Ventes!D14*Ventes!D15)+(Ventes!D17*Ventes!D18)</f>
        <v>88374</v>
      </c>
      <c r="F6" s="166">
        <f>(Ventes!E14*Ventes!E15)+(Ventes!E17*Ventes!E18)</f>
        <v>104679.00300000003</v>
      </c>
    </row>
    <row r="7" spans="3:6">
      <c r="C7" s="7" t="s">
        <v>1</v>
      </c>
      <c r="D7" s="75">
        <f>Charges!C14+Charges!C19+Charges!C25</f>
        <v>12233</v>
      </c>
      <c r="E7" s="75">
        <f>Charges!D14+Charges!D19+Charges!D25</f>
        <v>12859.2</v>
      </c>
      <c r="F7" s="75">
        <f>Charges!E14+Charges!E19+Charges!E25</f>
        <v>15325.44</v>
      </c>
    </row>
    <row r="8" spans="3:6">
      <c r="C8" s="2"/>
      <c r="D8" s="70"/>
      <c r="E8" s="70"/>
      <c r="F8" s="70"/>
    </row>
    <row r="9" spans="3:6">
      <c r="C9" s="187" t="s">
        <v>2</v>
      </c>
      <c r="D9" s="188">
        <f>D6-D7</f>
        <v>65767</v>
      </c>
      <c r="E9" s="188">
        <f>E6-E7</f>
        <v>75514.8</v>
      </c>
      <c r="F9" s="188">
        <f>F6-F7</f>
        <v>89353.563000000024</v>
      </c>
    </row>
    <row r="10" spans="3:6">
      <c r="C10" s="2"/>
      <c r="D10" s="70"/>
      <c r="E10" s="70"/>
      <c r="F10" s="70"/>
    </row>
    <row r="11" spans="3:6">
      <c r="C11" s="87" t="s">
        <v>3</v>
      </c>
      <c r="D11" s="75">
        <f>SUM(D12:D19)</f>
        <v>28091.730728000002</v>
      </c>
      <c r="E11" s="75">
        <f t="shared" ref="E11:F11" si="0">SUM(E12:E19)</f>
        <v>20796.682649840001</v>
      </c>
      <c r="F11" s="75">
        <f t="shared" si="0"/>
        <v>21366.727129335202</v>
      </c>
    </row>
    <row r="12" spans="3:6">
      <c r="C12" s="185" t="s">
        <v>4</v>
      </c>
      <c r="D12" s="184">
        <f>Charges!C4</f>
        <v>700</v>
      </c>
      <c r="E12" s="184">
        <f>Charges!D4</f>
        <v>721</v>
      </c>
      <c r="F12" s="184">
        <f>Charges!E4</f>
        <v>742.63</v>
      </c>
    </row>
    <row r="13" spans="3:6">
      <c r="C13" s="185" t="s">
        <v>5</v>
      </c>
      <c r="D13" s="184">
        <f>Charges!C5</f>
        <v>50</v>
      </c>
      <c r="E13" s="184">
        <f>Charges!D5</f>
        <v>51.5</v>
      </c>
      <c r="F13" s="184">
        <f>Charges!E5</f>
        <v>53.045000000000002</v>
      </c>
    </row>
    <row r="14" spans="3:6">
      <c r="C14" s="185" t="s">
        <v>6</v>
      </c>
      <c r="D14" s="184">
        <f>Charges!C6</f>
        <v>569.20000000000005</v>
      </c>
      <c r="E14" s="184">
        <f>Charges!D6</f>
        <v>586.27600000000007</v>
      </c>
      <c r="F14" s="184">
        <f>Charges!E6</f>
        <v>603.86428000000012</v>
      </c>
    </row>
    <row r="15" spans="3:6">
      <c r="C15" s="185" t="s">
        <v>7</v>
      </c>
      <c r="D15" s="184">
        <f>Charges!C7</f>
        <v>1412.530728</v>
      </c>
      <c r="E15" s="184">
        <f>Charges!D7</f>
        <v>1454.90664984</v>
      </c>
      <c r="F15" s="184">
        <f>Charges!E7</f>
        <v>1498.5538493352001</v>
      </c>
    </row>
    <row r="16" spans="3:6">
      <c r="C16" s="185" t="s">
        <v>8</v>
      </c>
      <c r="D16" s="184">
        <f>Charges!C8</f>
        <v>80</v>
      </c>
      <c r="E16" s="184">
        <f>Charges!D8</f>
        <v>82.4</v>
      </c>
      <c r="F16" s="184">
        <f>Charges!E8</f>
        <v>84.872000000000014</v>
      </c>
    </row>
    <row r="17" spans="3:6">
      <c r="C17" s="185" t="s">
        <v>9</v>
      </c>
      <c r="D17" s="184">
        <f>Charges!C9</f>
        <v>500</v>
      </c>
      <c r="E17" s="184">
        <f>Charges!D9</f>
        <v>515</v>
      </c>
      <c r="F17" s="184">
        <f>Charges!E9</f>
        <v>530.45000000000005</v>
      </c>
    </row>
    <row r="18" spans="3:6">
      <c r="C18" s="185" t="s">
        <v>154</v>
      </c>
      <c r="D18" s="184">
        <f>Charges!C10</f>
        <v>5280</v>
      </c>
      <c r="E18" s="184">
        <f>Charges!D10</f>
        <v>5385.6</v>
      </c>
      <c r="F18" s="184">
        <f>Charges!E10</f>
        <v>5493.3120000000008</v>
      </c>
    </row>
    <row r="19" spans="3:6">
      <c r="C19" s="185" t="s">
        <v>174</v>
      </c>
      <c r="D19" s="184">
        <f>Charges!C11</f>
        <v>19500</v>
      </c>
      <c r="E19" s="184">
        <f>Charges!D11</f>
        <v>12000</v>
      </c>
      <c r="F19" s="184">
        <f>Charges!E11</f>
        <v>12360</v>
      </c>
    </row>
    <row r="20" spans="3:6">
      <c r="C20" s="2"/>
      <c r="D20" s="70"/>
      <c r="E20" s="70"/>
      <c r="F20" s="70"/>
    </row>
    <row r="21" spans="3:6">
      <c r="C21" s="187" t="s">
        <v>10</v>
      </c>
      <c r="D21" s="188">
        <f>D9-D11</f>
        <v>37675.269271999998</v>
      </c>
      <c r="E21" s="188">
        <f>E9-E11</f>
        <v>54718.117350159999</v>
      </c>
      <c r="F21" s="188">
        <f>F9-F11</f>
        <v>67986.835870664829</v>
      </c>
    </row>
    <row r="22" spans="3:6">
      <c r="C22" s="4"/>
      <c r="D22" s="70"/>
      <c r="E22" s="70"/>
      <c r="F22" s="70"/>
    </row>
    <row r="23" spans="3:6">
      <c r="C23" s="186" t="s">
        <v>11</v>
      </c>
      <c r="D23" s="70"/>
      <c r="E23" s="70"/>
      <c r="F23" s="70"/>
    </row>
    <row r="24" spans="3:6">
      <c r="C24" s="83" t="s">
        <v>169</v>
      </c>
      <c r="D24" s="183">
        <f>Charges!C47+Charges!C57</f>
        <v>46584.865040000004</v>
      </c>
      <c r="E24" s="183">
        <f>Charges!D47+Charges!D57</f>
        <v>53905.383544000011</v>
      </c>
      <c r="F24" s="183">
        <f>Charges!E47+Charges!E57</f>
        <v>61957.953898400017</v>
      </c>
    </row>
    <row r="25" spans="3:6">
      <c r="C25" s="2" t="s">
        <v>170</v>
      </c>
      <c r="D25" s="70">
        <f>Charges!C42+Charges!C49+Charges!C55+Charges!C59</f>
        <v>32846.966960000005</v>
      </c>
      <c r="E25" s="70">
        <f>Charges!D42+Charges!D49+Charges!D55+Charges!D59</f>
        <v>37249.717096000008</v>
      </c>
      <c r="F25" s="70">
        <f>Charges!E42+Charges!E49+Charges!E55+Charges!E59</f>
        <v>42092.742245600006</v>
      </c>
    </row>
    <row r="26" spans="3:6">
      <c r="C26" s="187" t="s">
        <v>12</v>
      </c>
      <c r="D26" s="188">
        <f>D21-SUM(D23:D25)</f>
        <v>-41756.562728000012</v>
      </c>
      <c r="E26" s="188">
        <f t="shared" ref="E26:F26" si="1">E21-SUM(E23:E25)</f>
        <v>-36436.98328984002</v>
      </c>
      <c r="F26" s="188">
        <f t="shared" si="1"/>
        <v>-36063.860273335187</v>
      </c>
    </row>
    <row r="27" spans="3:6">
      <c r="C27" s="5"/>
      <c r="D27" s="70"/>
      <c r="E27" s="70"/>
      <c r="F27" s="70"/>
    </row>
    <row r="28" spans="3:6">
      <c r="C28" s="8" t="s">
        <v>13</v>
      </c>
      <c r="D28" s="70">
        <f>Financement!E10</f>
        <v>1225.0000000000002</v>
      </c>
      <c r="E28" s="70">
        <f>Financement!E11</f>
        <v>1067.5329951155443</v>
      </c>
      <c r="F28" s="70">
        <f>Financement!E12</f>
        <v>904.55464506013266</v>
      </c>
    </row>
    <row r="29" spans="3:6">
      <c r="C29" s="2" t="s">
        <v>14</v>
      </c>
      <c r="D29" s="70">
        <f>Immobilisations!C26+Immobilisations!C32</f>
        <v>6412.7333333333336</v>
      </c>
      <c r="E29" s="70">
        <f>Immobilisations!D26+Immobilisations!D32</f>
        <v>6412.7333333333336</v>
      </c>
      <c r="F29" s="70">
        <f>Immobilisations!E26+Immobilisations!E32</f>
        <v>6412.7333333333336</v>
      </c>
    </row>
    <row r="30" spans="3:6">
      <c r="C30" s="187" t="s">
        <v>15</v>
      </c>
      <c r="D30" s="188">
        <f>D26-D28-D29</f>
        <v>-49394.296061333342</v>
      </c>
      <c r="E30" s="188">
        <f t="shared" ref="E30:F30" si="2">E26-E28-E29</f>
        <v>-43917.249618288901</v>
      </c>
      <c r="F30" s="188">
        <f t="shared" si="2"/>
        <v>-43381.148251728649</v>
      </c>
    </row>
    <row r="31" spans="3:6">
      <c r="C31" s="2" t="s">
        <v>16</v>
      </c>
      <c r="D31" s="70">
        <f t="shared" ref="D31:E31" si="3">IF(D30&lt;38120,D30*0.15,((D30-38120)*0.28)+(38120*0.15))</f>
        <v>-7409.1444092000011</v>
      </c>
      <c r="E31" s="70">
        <f t="shared" si="3"/>
        <v>-6587.5874427433346</v>
      </c>
      <c r="F31" s="70">
        <f>IF(F30&lt;38120,F30*0.15,((F30-38120)*0.28)+(38120*0.15))</f>
        <v>-6507.1722377592969</v>
      </c>
    </row>
    <row r="32" spans="3:6">
      <c r="C32" s="1"/>
      <c r="D32" s="70"/>
      <c r="E32" s="70"/>
      <c r="F32" s="70"/>
    </row>
    <row r="33" spans="3:7">
      <c r="C33" s="187" t="s">
        <v>17</v>
      </c>
      <c r="D33" s="188">
        <f>D30-D31</f>
        <v>-41985.15165213334</v>
      </c>
      <c r="E33" s="188">
        <f t="shared" ref="E33:F33" si="4">E30-E31</f>
        <v>-37329.662175545564</v>
      </c>
      <c r="F33" s="188">
        <f t="shared" si="4"/>
        <v>-36873.976013969354</v>
      </c>
    </row>
    <row r="38" spans="3:7">
      <c r="G38" s="10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C659-F24A-42B1-A6B2-6417D67B579E}">
  <sheetPr>
    <tabColor theme="8" tint="-0.249977111117893"/>
  </sheetPr>
  <dimension ref="B3:K67"/>
  <sheetViews>
    <sheetView showGridLines="0" workbookViewId="0">
      <selection activeCell="J40" sqref="J40"/>
    </sheetView>
  </sheetViews>
  <sheetFormatPr baseColWidth="10" defaultRowHeight="15"/>
  <cols>
    <col min="2" max="2" width="38.42578125" customWidth="1"/>
  </cols>
  <sheetData>
    <row r="3" spans="2:9" ht="18.75" thickBot="1">
      <c r="B3" s="101"/>
      <c r="C3" s="101"/>
      <c r="G3" s="59"/>
      <c r="H3" s="59"/>
      <c r="I3" s="59"/>
    </row>
    <row r="4" spans="2:9" ht="24.95" customHeight="1" thickBot="1">
      <c r="B4" s="173" t="s">
        <v>74</v>
      </c>
      <c r="C4" s="207"/>
      <c r="D4" s="213">
        <v>2022</v>
      </c>
      <c r="E4" s="214">
        <v>2023</v>
      </c>
      <c r="F4" s="215">
        <v>2024</v>
      </c>
      <c r="G4" s="149"/>
      <c r="H4" s="149"/>
      <c r="I4" s="149"/>
    </row>
    <row r="5" spans="2:9" ht="15" customHeight="1">
      <c r="B5" s="266" t="s">
        <v>75</v>
      </c>
      <c r="C5" s="267"/>
      <c r="D5" s="31"/>
      <c r="E5" s="212"/>
      <c r="F5" s="212"/>
      <c r="G5" s="142"/>
      <c r="H5" s="142"/>
      <c r="I5" s="142"/>
    </row>
    <row r="6" spans="2:9">
      <c r="B6" s="254"/>
      <c r="C6" s="268"/>
      <c r="D6" s="141"/>
      <c r="E6" s="141"/>
      <c r="F6" s="141"/>
      <c r="G6" s="142"/>
      <c r="H6" s="142"/>
      <c r="I6" s="142"/>
    </row>
    <row r="7" spans="2:9">
      <c r="B7" s="269" t="s">
        <v>76</v>
      </c>
      <c r="C7" s="270"/>
      <c r="D7" s="208">
        <f>SUM(D8:D11)</f>
        <v>8000</v>
      </c>
      <c r="E7" s="208">
        <f t="shared" ref="E7:F7" si="0">SUM(E8:E11)</f>
        <v>3133.3333333333335</v>
      </c>
      <c r="F7" s="208">
        <f t="shared" si="0"/>
        <v>700</v>
      </c>
    </row>
    <row r="8" spans="2:9">
      <c r="B8" s="273" t="s">
        <v>23</v>
      </c>
      <c r="C8" s="274"/>
      <c r="D8" s="102">
        <f>Immobilisations!C14</f>
        <v>1000</v>
      </c>
      <c r="E8" s="102">
        <f>Immobilisations!D50</f>
        <v>800</v>
      </c>
      <c r="F8" s="102">
        <f>Immobilisations!E50</f>
        <v>700</v>
      </c>
    </row>
    <row r="9" spans="2:9">
      <c r="B9" s="239" t="s">
        <v>36</v>
      </c>
      <c r="C9" s="240"/>
      <c r="D9" s="102">
        <f>Immobilisations!C15</f>
        <v>5000</v>
      </c>
      <c r="E9" s="102">
        <f>Immobilisations!D51</f>
        <v>1666.6666666666665</v>
      </c>
      <c r="F9" s="102">
        <f>Immobilisations!E51</f>
        <v>0</v>
      </c>
    </row>
    <row r="10" spans="2:9">
      <c r="B10" s="239" t="s">
        <v>24</v>
      </c>
      <c r="C10" s="240"/>
      <c r="D10" s="102">
        <f>Immobilisations!C16</f>
        <v>1000</v>
      </c>
      <c r="E10" s="102">
        <f>Immobilisations!D52</f>
        <v>333.33333333333337</v>
      </c>
      <c r="F10" s="102">
        <f>Immobilisations!E52</f>
        <v>0</v>
      </c>
    </row>
    <row r="11" spans="2:9">
      <c r="B11" s="239" t="s">
        <v>25</v>
      </c>
      <c r="C11" s="240"/>
      <c r="D11" s="102">
        <f>Immobilisations!C17</f>
        <v>1000</v>
      </c>
      <c r="E11" s="102">
        <f>Immobilisations!D53</f>
        <v>333.33333333333337</v>
      </c>
      <c r="F11" s="102">
        <f>Immobilisations!E53</f>
        <v>0</v>
      </c>
    </row>
    <row r="12" spans="2:9">
      <c r="B12" s="262"/>
      <c r="C12" s="263"/>
      <c r="D12" s="102"/>
      <c r="E12" s="102"/>
      <c r="F12" s="121"/>
    </row>
    <row r="13" spans="2:9">
      <c r="B13" s="269" t="s">
        <v>77</v>
      </c>
      <c r="C13" s="270"/>
      <c r="D13" s="208">
        <f>SUM(D14:D17)</f>
        <v>20786</v>
      </c>
      <c r="E13" s="208">
        <f t="shared" ref="E13" si="1">SUM(E14:E17)</f>
        <v>12471.599999999999</v>
      </c>
      <c r="F13" s="208">
        <f t="shared" ref="F13" si="2">SUM(F14:F17)</f>
        <v>8314.4000000000015</v>
      </c>
    </row>
    <row r="14" spans="2:9">
      <c r="B14" s="239" t="s">
        <v>105</v>
      </c>
      <c r="C14" s="240"/>
      <c r="D14" s="102">
        <f>Immobilisations!C8</f>
        <v>16450</v>
      </c>
      <c r="E14" s="102">
        <f>Immobilisations!D44</f>
        <v>9870</v>
      </c>
      <c r="F14" s="102">
        <f>Immobilisations!E44</f>
        <v>6580</v>
      </c>
    </row>
    <row r="15" spans="2:9">
      <c r="B15" s="239" t="s">
        <v>78</v>
      </c>
      <c r="C15" s="240"/>
      <c r="D15" s="102">
        <f>Immobilisations!C11</f>
        <v>889</v>
      </c>
      <c r="E15" s="102">
        <f>Immobilisations!D47</f>
        <v>533.4</v>
      </c>
      <c r="F15" s="102">
        <f>Immobilisations!E47</f>
        <v>355.59999999999991</v>
      </c>
    </row>
    <row r="16" spans="2:9">
      <c r="B16" s="239" t="s">
        <v>106</v>
      </c>
      <c r="C16" s="240"/>
      <c r="D16" s="102">
        <f>Immobilisations!C9</f>
        <v>319</v>
      </c>
      <c r="E16" s="102">
        <f>Immobilisations!D45</f>
        <v>191.4</v>
      </c>
      <c r="F16" s="102">
        <f>Immobilisations!E45</f>
        <v>127.60000000000002</v>
      </c>
    </row>
    <row r="17" spans="2:9">
      <c r="B17" s="239" t="s">
        <v>79</v>
      </c>
      <c r="C17" s="240"/>
      <c r="D17" s="102">
        <f>Immobilisations!C10</f>
        <v>3128</v>
      </c>
      <c r="E17" s="102">
        <f>Immobilisations!D46</f>
        <v>1876.8</v>
      </c>
      <c r="F17" s="102">
        <f>Immobilisations!E46</f>
        <v>1251.1999999999998</v>
      </c>
    </row>
    <row r="18" spans="2:9">
      <c r="B18" s="117"/>
      <c r="C18" s="118"/>
      <c r="D18" s="2"/>
      <c r="E18" s="2"/>
      <c r="F18" s="2"/>
    </row>
    <row r="19" spans="2:9">
      <c r="B19" s="260" t="s">
        <v>80</v>
      </c>
      <c r="C19" s="261"/>
      <c r="D19" s="208">
        <f>SUM(D20)</f>
        <v>1320</v>
      </c>
      <c r="E19" s="208">
        <f t="shared" ref="E19:F19" si="3">SUM(E20)</f>
        <v>1320</v>
      </c>
      <c r="F19" s="208">
        <f t="shared" si="3"/>
        <v>1320</v>
      </c>
    </row>
    <row r="20" spans="2:9">
      <c r="B20" s="239" t="s">
        <v>81</v>
      </c>
      <c r="C20" s="240"/>
      <c r="D20" s="102">
        <v>1320</v>
      </c>
      <c r="E20" s="102">
        <v>1320</v>
      </c>
      <c r="F20" s="121">
        <v>1320</v>
      </c>
    </row>
    <row r="21" spans="2:9" ht="15.75" thickBot="1">
      <c r="B21" s="262"/>
      <c r="C21" s="263"/>
      <c r="D21" s="171"/>
      <c r="E21" s="122"/>
      <c r="F21" s="118"/>
    </row>
    <row r="22" spans="2:9" ht="15.75" thickBot="1">
      <c r="B22" s="247" t="s">
        <v>82</v>
      </c>
      <c r="C22" s="256"/>
      <c r="D22" s="103">
        <f>D7+D13+D19</f>
        <v>30106</v>
      </c>
      <c r="E22" s="103">
        <f t="shared" ref="E22:F22" si="4">E7+E13+E19</f>
        <v>16924.933333333334</v>
      </c>
      <c r="F22" s="103">
        <f t="shared" si="4"/>
        <v>10334.400000000001</v>
      </c>
    </row>
    <row r="23" spans="2:9">
      <c r="B23" s="264"/>
      <c r="C23" s="265"/>
      <c r="D23" s="210"/>
      <c r="E23" s="210"/>
      <c r="F23" s="211"/>
    </row>
    <row r="24" spans="2:9">
      <c r="B24" s="243" t="s">
        <v>107</v>
      </c>
      <c r="C24" s="244"/>
      <c r="D24" s="143"/>
      <c r="E24" s="143"/>
      <c r="F24" s="143"/>
    </row>
    <row r="25" spans="2:9">
      <c r="B25" s="254"/>
      <c r="C25" s="255"/>
      <c r="D25" s="141"/>
      <c r="E25" s="141"/>
      <c r="F25" s="126"/>
    </row>
    <row r="26" spans="2:9">
      <c r="B26" s="239" t="s">
        <v>83</v>
      </c>
      <c r="C26" s="240"/>
      <c r="D26" s="119">
        <v>0</v>
      </c>
      <c r="E26" s="119">
        <v>0</v>
      </c>
      <c r="F26" s="119">
        <v>0</v>
      </c>
    </row>
    <row r="27" spans="2:9">
      <c r="B27" s="239" t="s">
        <v>84</v>
      </c>
      <c r="C27" s="240"/>
      <c r="D27" s="102">
        <f>'Compte de résultat'!D6*10/365</f>
        <v>2136.9863013698632</v>
      </c>
      <c r="E27" s="102">
        <f>'Compte de résultat'!E6*10/365</f>
        <v>2421.205479452055</v>
      </c>
      <c r="F27" s="102">
        <f>'Compte de résultat'!F6*10/365</f>
        <v>2867.9178904109594</v>
      </c>
    </row>
    <row r="28" spans="2:9" ht="15.75" thickBot="1">
      <c r="B28" s="259"/>
      <c r="C28" s="259"/>
      <c r="D28" s="124"/>
      <c r="E28" s="124"/>
      <c r="F28" s="124"/>
      <c r="G28" s="142"/>
      <c r="H28" s="142"/>
      <c r="I28" s="142"/>
    </row>
    <row r="29" spans="2:9" ht="15.75" thickBot="1">
      <c r="B29" s="247" t="s">
        <v>85</v>
      </c>
      <c r="C29" s="256"/>
      <c r="D29" s="104">
        <f>SUM(D26:D27)</f>
        <v>2136.9863013698632</v>
      </c>
      <c r="E29" s="104">
        <f>SUM(E26:E27)</f>
        <v>2421.205479452055</v>
      </c>
      <c r="F29" s="104">
        <f>SUM(F26:F27)</f>
        <v>2867.9178904109594</v>
      </c>
      <c r="G29" s="91"/>
      <c r="H29" s="91"/>
      <c r="I29" s="91"/>
    </row>
    <row r="30" spans="2:9">
      <c r="B30" s="257"/>
      <c r="C30" s="258"/>
      <c r="D30" s="168"/>
      <c r="E30" s="168"/>
      <c r="F30" s="209"/>
      <c r="G30" s="91"/>
      <c r="H30" s="91"/>
      <c r="I30" s="91"/>
    </row>
    <row r="31" spans="2:9">
      <c r="B31" s="243" t="s">
        <v>86</v>
      </c>
      <c r="C31" s="244"/>
      <c r="D31" s="172"/>
      <c r="E31" s="125"/>
      <c r="F31" s="125"/>
      <c r="G31" s="91"/>
      <c r="H31" s="91"/>
      <c r="I31" s="91"/>
    </row>
    <row r="32" spans="2:9">
      <c r="B32" s="254"/>
      <c r="C32" s="255"/>
      <c r="D32" s="170"/>
      <c r="E32" s="107"/>
      <c r="F32" s="123"/>
      <c r="G32" s="91"/>
      <c r="H32" s="91"/>
      <c r="I32" s="91"/>
    </row>
    <row r="33" spans="2:11">
      <c r="B33" s="251" t="s">
        <v>175</v>
      </c>
      <c r="C33" s="252"/>
      <c r="D33" s="221">
        <f>'Tableau trésorerie'!C28</f>
        <v>1293.8970857989189</v>
      </c>
      <c r="E33" s="221">
        <f>'Tableau trésorerie'!N28</f>
        <v>-52827.234970413047</v>
      </c>
      <c r="F33" s="221">
        <v>20410</v>
      </c>
      <c r="G33" s="91"/>
      <c r="H33" s="91"/>
      <c r="I33" s="91"/>
    </row>
    <row r="34" spans="2:11" ht="15.75" thickBot="1">
      <c r="B34" s="234"/>
      <c r="C34" s="253"/>
      <c r="D34" s="108"/>
      <c r="E34" s="108"/>
      <c r="F34" s="126"/>
      <c r="G34" s="234"/>
      <c r="H34" s="235"/>
      <c r="I34" s="235"/>
    </row>
    <row r="35" spans="2:11" ht="15.75" thickBot="1">
      <c r="B35" s="247" t="s">
        <v>87</v>
      </c>
      <c r="C35" s="248"/>
      <c r="D35" s="104">
        <f t="shared" ref="D35:F35" si="5">SUM(D33:D34)</f>
        <v>1293.8970857989189</v>
      </c>
      <c r="E35" s="104">
        <f t="shared" si="5"/>
        <v>-52827.234970413047</v>
      </c>
      <c r="F35" s="104">
        <f t="shared" si="5"/>
        <v>20410</v>
      </c>
      <c r="G35" s="91"/>
      <c r="H35" s="91"/>
      <c r="I35" s="91"/>
    </row>
    <row r="36" spans="2:11" ht="15.75" thickBot="1">
      <c r="B36" s="249"/>
      <c r="C36" s="249"/>
      <c r="D36" s="109"/>
      <c r="E36" s="109"/>
      <c r="F36" s="112"/>
      <c r="G36" s="91"/>
      <c r="H36" s="91"/>
      <c r="I36" s="91"/>
    </row>
    <row r="37" spans="2:11" ht="16.5" thickBot="1">
      <c r="B37" s="228" t="s">
        <v>88</v>
      </c>
      <c r="C37" s="250"/>
      <c r="D37" s="169">
        <f>SUM(D22+D29+D35)</f>
        <v>33536.883387168782</v>
      </c>
      <c r="E37" s="110">
        <f>SUM(E22+E29+E35)</f>
        <v>-33481.09615762766</v>
      </c>
      <c r="F37" s="110">
        <f>SUM(F22+F29+F35)</f>
        <v>33612.317890410959</v>
      </c>
      <c r="G37" s="91"/>
    </row>
    <row r="38" spans="2:11" ht="15.75">
      <c r="B38" s="139"/>
      <c r="C38" s="139"/>
      <c r="D38" s="139"/>
      <c r="E38" s="139"/>
      <c r="F38" s="112"/>
      <c r="G38" s="91"/>
      <c r="H38" s="222" t="s">
        <v>176</v>
      </c>
      <c r="I38" s="223">
        <f>D37-D67</f>
        <v>-5168.5960648860128</v>
      </c>
      <c r="J38" s="223">
        <f>E37-E67</f>
        <v>-72472.01695740642</v>
      </c>
      <c r="K38" s="223">
        <f>F37-F67</f>
        <v>2249.0431519022786</v>
      </c>
    </row>
    <row r="39" spans="2:11" ht="16.5" thickBot="1">
      <c r="B39" s="148"/>
      <c r="C39" s="148"/>
      <c r="D39" s="140"/>
      <c r="E39" s="140"/>
      <c r="F39" s="112"/>
      <c r="G39" s="91"/>
      <c r="H39" s="220"/>
      <c r="I39" s="224" t="s">
        <v>177</v>
      </c>
      <c r="J39" s="224" t="s">
        <v>177</v>
      </c>
      <c r="K39" s="224" t="s">
        <v>177</v>
      </c>
    </row>
    <row r="40" spans="2:11" ht="30" customHeight="1" thickBot="1">
      <c r="B40" s="173" t="s">
        <v>89</v>
      </c>
      <c r="C40" s="207"/>
      <c r="D40" s="206">
        <v>2022</v>
      </c>
      <c r="E40" s="206">
        <v>2023</v>
      </c>
      <c r="F40" s="215">
        <v>2024</v>
      </c>
      <c r="G40" s="236"/>
      <c r="H40" s="236"/>
      <c r="I40" s="138"/>
    </row>
    <row r="41" spans="2:11" ht="15.75">
      <c r="B41" s="111"/>
      <c r="C41" s="112"/>
      <c r="D41" s="128"/>
      <c r="E41" s="128"/>
      <c r="F41" s="211"/>
      <c r="G41" s="127"/>
      <c r="H41" s="127"/>
    </row>
    <row r="42" spans="2:11" ht="15.75">
      <c r="B42" s="243" t="s">
        <v>90</v>
      </c>
      <c r="C42" s="244"/>
      <c r="D42" s="120">
        <v>2022</v>
      </c>
      <c r="E42" s="120">
        <v>2023</v>
      </c>
      <c r="F42" s="120">
        <v>2024</v>
      </c>
      <c r="G42" s="127"/>
      <c r="H42" s="127"/>
      <c r="I42" s="127"/>
    </row>
    <row r="43" spans="2:11" ht="15" customHeight="1">
      <c r="B43" s="237"/>
      <c r="C43" s="238"/>
      <c r="D43" s="170"/>
      <c r="E43" s="107"/>
      <c r="F43" s="123"/>
      <c r="G43" s="144"/>
      <c r="H43" s="91"/>
      <c r="I43" s="144"/>
    </row>
    <row r="44" spans="2:11" ht="15" customHeight="1">
      <c r="B44" s="239" t="s">
        <v>91</v>
      </c>
      <c r="C44" s="240"/>
      <c r="D44" s="108"/>
      <c r="E44" s="108"/>
      <c r="F44" s="126"/>
      <c r="G44" s="144"/>
      <c r="H44" s="144"/>
      <c r="I44" s="144"/>
    </row>
    <row r="45" spans="2:11" ht="15.75" customHeight="1">
      <c r="B45" s="241" t="s">
        <v>92</v>
      </c>
      <c r="C45" s="242"/>
      <c r="D45" s="217">
        <v>500</v>
      </c>
      <c r="E45" s="217">
        <f>$D$45</f>
        <v>500</v>
      </c>
      <c r="F45" s="217">
        <f>$D$45</f>
        <v>500</v>
      </c>
      <c r="G45" s="112">
        <v>0</v>
      </c>
      <c r="H45" s="112"/>
      <c r="I45" s="129"/>
    </row>
    <row r="46" spans="2:11">
      <c r="B46" s="241" t="s">
        <v>93</v>
      </c>
      <c r="C46" s="242"/>
      <c r="D46" s="108"/>
      <c r="E46" s="108"/>
      <c r="F46" s="108"/>
    </row>
    <row r="47" spans="2:11" ht="15" customHeight="1">
      <c r="B47" s="271"/>
      <c r="C47" s="272"/>
      <c r="D47" s="108"/>
      <c r="E47" s="108"/>
      <c r="F47" s="108"/>
    </row>
    <row r="48" spans="2:11" ht="15.75" customHeight="1">
      <c r="B48" s="275" t="s">
        <v>94</v>
      </c>
      <c r="C48" s="276"/>
      <c r="D48" s="113">
        <f>SUM(D44:D46)</f>
        <v>500</v>
      </c>
      <c r="E48" s="113">
        <f>SUM(E44:E46)</f>
        <v>500</v>
      </c>
      <c r="F48" s="113">
        <f>SUM(F44:F46)</f>
        <v>500</v>
      </c>
    </row>
    <row r="49" spans="2:9">
      <c r="B49" s="111"/>
      <c r="C49" s="112"/>
      <c r="D49" s="114"/>
      <c r="E49" s="114"/>
      <c r="F49" s="146"/>
    </row>
    <row r="50" spans="2:9">
      <c r="B50" s="243" t="s">
        <v>95</v>
      </c>
      <c r="C50" s="244"/>
      <c r="D50" s="134"/>
      <c r="E50" s="134"/>
      <c r="F50" s="135"/>
    </row>
    <row r="51" spans="2:9">
      <c r="B51" s="105"/>
      <c r="C51" s="106"/>
      <c r="D51" s="170"/>
      <c r="E51" s="107"/>
      <c r="F51" s="126"/>
    </row>
    <row r="52" spans="2:9">
      <c r="B52" s="239" t="s">
        <v>96</v>
      </c>
      <c r="C52" s="240"/>
      <c r="D52" s="119">
        <f>Financement!C10</f>
        <v>35000</v>
      </c>
      <c r="E52" s="102">
        <f>Financement!C11</f>
        <v>30500.942717586979</v>
      </c>
      <c r="F52" s="102">
        <f>Financement!C12</f>
        <v>25844.418430289501</v>
      </c>
    </row>
    <row r="53" spans="2:9">
      <c r="B53" s="245" t="s">
        <v>97</v>
      </c>
      <c r="C53" s="246"/>
      <c r="D53" s="119">
        <v>0</v>
      </c>
      <c r="E53" s="119">
        <v>0</v>
      </c>
      <c r="F53" s="119">
        <v>0</v>
      </c>
    </row>
    <row r="54" spans="2:9">
      <c r="B54" s="239" t="s">
        <v>98</v>
      </c>
      <c r="C54" s="240"/>
      <c r="D54" s="102">
        <v>0</v>
      </c>
      <c r="E54" s="102">
        <v>0</v>
      </c>
      <c r="F54" s="102">
        <v>0</v>
      </c>
      <c r="G54" s="136"/>
      <c r="H54" s="136"/>
      <c r="I54" s="136"/>
    </row>
    <row r="55" spans="2:9">
      <c r="B55" s="239" t="s">
        <v>99</v>
      </c>
      <c r="C55" s="240"/>
      <c r="D55" s="102">
        <v>0</v>
      </c>
      <c r="E55" s="102">
        <v>0</v>
      </c>
      <c r="F55" s="102">
        <v>0</v>
      </c>
    </row>
    <row r="56" spans="2:9">
      <c r="B56" s="230"/>
      <c r="C56" s="231"/>
      <c r="D56" s="108"/>
      <c r="E56" s="108"/>
      <c r="F56" s="108"/>
    </row>
    <row r="57" spans="2:9">
      <c r="B57" s="115" t="s">
        <v>100</v>
      </c>
      <c r="C57" s="116"/>
      <c r="D57" s="113">
        <f>SUM(D52:D56)</f>
        <v>35000</v>
      </c>
      <c r="E57" s="113">
        <f>SUM(E52:E56)</f>
        <v>30500.942717586979</v>
      </c>
      <c r="F57" s="113">
        <f>SUM(F52:F56)</f>
        <v>25844.418430289501</v>
      </c>
    </row>
    <row r="58" spans="2:9">
      <c r="B58" s="277"/>
      <c r="C58" s="278"/>
      <c r="D58" s="108"/>
      <c r="E58" s="108"/>
      <c r="F58" s="146"/>
    </row>
    <row r="59" spans="2:9">
      <c r="B59" s="243" t="s">
        <v>101</v>
      </c>
      <c r="C59" s="244"/>
      <c r="D59" s="147"/>
      <c r="E59" s="147"/>
      <c r="F59" s="147"/>
    </row>
    <row r="60" spans="2:9">
      <c r="B60" s="254"/>
      <c r="C60" s="255"/>
      <c r="D60" s="130"/>
      <c r="E60" s="130"/>
      <c r="F60" s="126"/>
    </row>
    <row r="61" spans="2:9">
      <c r="B61" s="239" t="s">
        <v>102</v>
      </c>
      <c r="C61" s="240"/>
      <c r="D61" s="102">
        <f>'Compte de résultat'!D6*15/365</f>
        <v>3205.4794520547944</v>
      </c>
      <c r="E61" s="102">
        <f>'Compte de résultat'!E6*33/365</f>
        <v>7989.9780821917811</v>
      </c>
      <c r="F61" s="102">
        <f>'Compte de résultat'!F6*17.5/365</f>
        <v>5018.8563082191795</v>
      </c>
    </row>
    <row r="62" spans="2:9">
      <c r="B62" s="239" t="s">
        <v>103</v>
      </c>
      <c r="C62" s="240"/>
      <c r="D62" s="102">
        <v>0</v>
      </c>
      <c r="E62" s="102">
        <v>0</v>
      </c>
      <c r="F62" s="121">
        <v>0</v>
      </c>
    </row>
    <row r="63" spans="2:9">
      <c r="B63" s="271"/>
      <c r="C63" s="272"/>
      <c r="D63" s="108"/>
      <c r="E63" s="108"/>
      <c r="F63" s="131"/>
      <c r="G63" s="145"/>
      <c r="H63" s="137"/>
      <c r="I63" s="138"/>
    </row>
    <row r="64" spans="2:9">
      <c r="B64" s="115" t="s">
        <v>104</v>
      </c>
      <c r="C64" s="116"/>
      <c r="D64" s="113">
        <f>SUM(D61:D63)</f>
        <v>3205.4794520547944</v>
      </c>
      <c r="E64" s="113">
        <f>SUM(E61:E63)</f>
        <v>7989.9780821917811</v>
      </c>
      <c r="F64" s="132">
        <f>SUM(F61:F63)</f>
        <v>5018.8563082191795</v>
      </c>
      <c r="G64" s="136"/>
      <c r="H64" s="136"/>
      <c r="I64" s="136"/>
    </row>
    <row r="65" spans="2:6">
      <c r="B65" s="279"/>
      <c r="C65" s="280"/>
      <c r="D65" s="108"/>
      <c r="E65" s="108"/>
      <c r="F65" s="131"/>
    </row>
    <row r="66" spans="2:6" ht="15.75" thickBot="1">
      <c r="B66" s="232"/>
      <c r="C66" s="233"/>
      <c r="D66" s="108"/>
      <c r="E66" s="108"/>
      <c r="F66" s="131"/>
    </row>
    <row r="67" spans="2:6" ht="16.5" thickBot="1">
      <c r="B67" s="228" t="s">
        <v>88</v>
      </c>
      <c r="C67" s="229"/>
      <c r="D67" s="133">
        <f>SUM(D64+D57+D48)</f>
        <v>38705.479452054795</v>
      </c>
      <c r="E67" s="133">
        <f>SUM(E64+E57+E48)</f>
        <v>38990.92079977876</v>
      </c>
      <c r="F67" s="110">
        <f>SUM(F64+F57+F48)</f>
        <v>31363.27473850868</v>
      </c>
    </row>
  </sheetData>
  <protectedRanges>
    <protectedRange sqref="B50:C51 B33 D61:D62 B52:B55 B13:C13 B20:B21 B19:C19 B63:C63 B24 B26:B28 C24:C25 D45 B41:C43 B44:B46 B47:C47 B59:C60 B61:B62 B65:C66 B8:B12 B5:C7 D52:D55 B14:B18 D8:D11 B34:C34 D14:D17 B30:C32 D20 D33:F33 E61:F61" name="Plage1_1"/>
    <protectedRange sqref="E50:E56 F26 I54 E24:E26 G34:I34 E30:E32 E41:E47 G64 G5:I6 G45:I45 E5:E6 F52:F56 E65:F66 E59:E60 G54 E20:F21 I28 I64 E34 F45:F47 E8:F12 E14:F17 E28:G28 E62:F63" name="Plage1_7"/>
  </protectedRanges>
  <mergeCells count="56">
    <mergeCell ref="B60:C60"/>
    <mergeCell ref="B58:C58"/>
    <mergeCell ref="B63:C63"/>
    <mergeCell ref="B65:C65"/>
    <mergeCell ref="B61:C61"/>
    <mergeCell ref="B62:C62"/>
    <mergeCell ref="B5:C5"/>
    <mergeCell ref="B6:C6"/>
    <mergeCell ref="B7:C7"/>
    <mergeCell ref="B47:C47"/>
    <mergeCell ref="B13:C13"/>
    <mergeCell ref="B14:C14"/>
    <mergeCell ref="B15:C15"/>
    <mergeCell ref="B12:C12"/>
    <mergeCell ref="B8:C8"/>
    <mergeCell ref="B9:C9"/>
    <mergeCell ref="B10:C10"/>
    <mergeCell ref="B11:C11"/>
    <mergeCell ref="B27:C27"/>
    <mergeCell ref="B25:C25"/>
    <mergeCell ref="B16:C16"/>
    <mergeCell ref="B17:C17"/>
    <mergeCell ref="B19:C19"/>
    <mergeCell ref="B20:C20"/>
    <mergeCell ref="B21:C21"/>
    <mergeCell ref="B22:C22"/>
    <mergeCell ref="B23:C23"/>
    <mergeCell ref="B24:C24"/>
    <mergeCell ref="B26:C26"/>
    <mergeCell ref="B29:C29"/>
    <mergeCell ref="B30:C30"/>
    <mergeCell ref="B31:C31"/>
    <mergeCell ref="B28:C28"/>
    <mergeCell ref="B33:C33"/>
    <mergeCell ref="B34:C34"/>
    <mergeCell ref="B32:C32"/>
    <mergeCell ref="B55:C55"/>
    <mergeCell ref="B59:C59"/>
    <mergeCell ref="B42:C42"/>
    <mergeCell ref="B48:C48"/>
    <mergeCell ref="B67:C67"/>
    <mergeCell ref="B56:C56"/>
    <mergeCell ref="B66:C66"/>
    <mergeCell ref="G34:I34"/>
    <mergeCell ref="G40:H40"/>
    <mergeCell ref="B43:C43"/>
    <mergeCell ref="B54:C54"/>
    <mergeCell ref="B44:C44"/>
    <mergeCell ref="B45:C45"/>
    <mergeCell ref="B46:C46"/>
    <mergeCell ref="B50:C50"/>
    <mergeCell ref="B52:C52"/>
    <mergeCell ref="B53:C53"/>
    <mergeCell ref="B35:C35"/>
    <mergeCell ref="B36:C36"/>
    <mergeCell ref="B37:C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F60B-6C72-4D40-B69A-772C7ED828C7}">
  <sheetPr>
    <tabColor theme="8" tint="0.39997558519241921"/>
  </sheetPr>
  <dimension ref="B4:O28"/>
  <sheetViews>
    <sheetView showGridLines="0" workbookViewId="0">
      <selection activeCell="D3" sqref="D3"/>
    </sheetView>
  </sheetViews>
  <sheetFormatPr baseColWidth="10" defaultColWidth="25.7109375" defaultRowHeight="15" customHeight="1"/>
  <cols>
    <col min="1" max="1" width="14.42578125" customWidth="1"/>
    <col min="2" max="2" width="31.28515625" bestFit="1" customWidth="1"/>
  </cols>
  <sheetData>
    <row r="4" spans="2:15" ht="15" customHeight="1">
      <c r="C4" s="150" t="s">
        <v>108</v>
      </c>
      <c r="D4" s="150" t="s">
        <v>109</v>
      </c>
      <c r="E4" s="150" t="s">
        <v>110</v>
      </c>
      <c r="F4" s="150" t="s">
        <v>111</v>
      </c>
      <c r="G4" s="150" t="s">
        <v>112</v>
      </c>
      <c r="H4" s="150" t="s">
        <v>113</v>
      </c>
      <c r="I4" s="150" t="s">
        <v>114</v>
      </c>
      <c r="J4" s="150" t="s">
        <v>115</v>
      </c>
      <c r="K4" s="150" t="s">
        <v>116</v>
      </c>
      <c r="L4" s="150" t="s">
        <v>117</v>
      </c>
      <c r="M4" s="150" t="s">
        <v>118</v>
      </c>
      <c r="N4" s="150" t="s">
        <v>119</v>
      </c>
    </row>
    <row r="5" spans="2:15" ht="15" customHeight="1">
      <c r="B5" s="151" t="s">
        <v>120</v>
      </c>
      <c r="C5" s="5"/>
      <c r="D5" s="70"/>
      <c r="E5" s="70"/>
      <c r="F5" s="70"/>
      <c r="G5" s="70"/>
      <c r="H5" s="70"/>
      <c r="I5" s="70"/>
      <c r="J5" s="70"/>
      <c r="K5" s="152"/>
      <c r="L5" s="70"/>
      <c r="M5" s="70"/>
      <c r="N5" s="70"/>
    </row>
    <row r="6" spans="2:15" ht="15" customHeight="1">
      <c r="B6" s="153" t="s">
        <v>121</v>
      </c>
      <c r="C6" s="70">
        <f>Financement!D5</f>
        <v>35000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2:15" ht="15" customHeight="1">
      <c r="B7" s="153" t="s">
        <v>122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2:15" ht="15" customHeight="1">
      <c r="B8" s="153" t="s">
        <v>123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2:15" ht="15" customHeight="1">
      <c r="B9" s="151" t="s">
        <v>124</v>
      </c>
      <c r="C9" s="155">
        <f>'Compte de résultat'!$D$6/12</f>
        <v>6500</v>
      </c>
      <c r="D9" s="155">
        <f>'Compte de résultat'!$D$6/12</f>
        <v>6500</v>
      </c>
      <c r="E9" s="155">
        <f>'Compte de résultat'!$D$6/12</f>
        <v>6500</v>
      </c>
      <c r="F9" s="155">
        <f>'Compte de résultat'!$D$6/12</f>
        <v>6500</v>
      </c>
      <c r="G9" s="155">
        <f>'Compte de résultat'!$D$6/12</f>
        <v>6500</v>
      </c>
      <c r="H9" s="155">
        <f>'Compte de résultat'!$D$6/12</f>
        <v>6500</v>
      </c>
      <c r="I9" s="155">
        <f>'Compte de résultat'!$D$6/12</f>
        <v>6500</v>
      </c>
      <c r="J9" s="155">
        <f>'Compte de résultat'!$D$6/12</f>
        <v>6500</v>
      </c>
      <c r="K9" s="155">
        <f>'Compte de résultat'!$D$6/12</f>
        <v>6500</v>
      </c>
      <c r="L9" s="155">
        <f>'Compte de résultat'!$D$6/12</f>
        <v>6500</v>
      </c>
      <c r="M9" s="155">
        <f>'Compte de résultat'!$D$6/12</f>
        <v>6500</v>
      </c>
      <c r="N9" s="155">
        <f>'Compte de résultat'!$D$6/12</f>
        <v>6500</v>
      </c>
      <c r="O9" t="s">
        <v>143</v>
      </c>
    </row>
    <row r="10" spans="2:15" ht="15" customHeight="1">
      <c r="B10" s="153" t="s">
        <v>125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2:15" ht="15" customHeight="1">
      <c r="B11" s="156" t="s">
        <v>126</v>
      </c>
      <c r="C11" s="216">
        <f>C9</f>
        <v>6500</v>
      </c>
      <c r="D11" s="216">
        <f t="shared" ref="D11:N11" si="0">D9</f>
        <v>6500</v>
      </c>
      <c r="E11" s="216">
        <f t="shared" si="0"/>
        <v>6500</v>
      </c>
      <c r="F11" s="216">
        <f t="shared" si="0"/>
        <v>6500</v>
      </c>
      <c r="G11" s="216">
        <f t="shared" si="0"/>
        <v>6500</v>
      </c>
      <c r="H11" s="216">
        <f t="shared" si="0"/>
        <v>6500</v>
      </c>
      <c r="I11" s="216">
        <f t="shared" si="0"/>
        <v>6500</v>
      </c>
      <c r="J11" s="216">
        <f t="shared" si="0"/>
        <v>6500</v>
      </c>
      <c r="K11" s="216">
        <f t="shared" si="0"/>
        <v>6500</v>
      </c>
      <c r="L11" s="216">
        <f t="shared" si="0"/>
        <v>6500</v>
      </c>
      <c r="M11" s="216">
        <f t="shared" si="0"/>
        <v>6500</v>
      </c>
      <c r="N11" s="216">
        <f t="shared" si="0"/>
        <v>6500</v>
      </c>
    </row>
    <row r="12" spans="2:15" ht="15" customHeight="1">
      <c r="B12" s="167" t="s">
        <v>22</v>
      </c>
      <c r="C12" s="152">
        <f>Immobilisations!C13</f>
        <v>8000</v>
      </c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2:15" ht="15" customHeight="1">
      <c r="B13" s="158" t="s">
        <v>127</v>
      </c>
      <c r="C13" s="152">
        <f>Immobilisations!C7</f>
        <v>20786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2:15" ht="15" customHeight="1">
      <c r="B14" s="159" t="s">
        <v>128</v>
      </c>
      <c r="C14" s="157">
        <f>C13+C12</f>
        <v>28786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</row>
    <row r="15" spans="2:15" ht="15" customHeight="1">
      <c r="B15" s="151" t="s">
        <v>129</v>
      </c>
      <c r="C15" s="70">
        <v>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</row>
    <row r="16" spans="2:15" ht="15" customHeight="1">
      <c r="B16" s="153" t="s">
        <v>130</v>
      </c>
      <c r="C16" s="152">
        <f>Financement!$D$10/12</f>
        <v>477.00477353441858</v>
      </c>
      <c r="D16" s="152">
        <f>Financement!$D$10/12</f>
        <v>477.00477353441858</v>
      </c>
      <c r="E16" s="152">
        <f>Financement!$D$10/12</f>
        <v>477.00477353441858</v>
      </c>
      <c r="F16" s="152">
        <f>Financement!$D$10/12</f>
        <v>477.00477353441858</v>
      </c>
      <c r="G16" s="152">
        <f>Financement!$D$10/12</f>
        <v>477.00477353441858</v>
      </c>
      <c r="H16" s="152">
        <f>Financement!$D$10/12</f>
        <v>477.00477353441858</v>
      </c>
      <c r="I16" s="152">
        <f>Financement!$D$10/12</f>
        <v>477.00477353441858</v>
      </c>
      <c r="J16" s="152">
        <f>Financement!$D$10/12</f>
        <v>477.00477353441858</v>
      </c>
      <c r="K16" s="152">
        <f>Financement!$D$10/12</f>
        <v>477.00477353441858</v>
      </c>
      <c r="L16" s="152">
        <f>Financement!$D$10/12</f>
        <v>477.00477353441858</v>
      </c>
      <c r="M16" s="152">
        <f>Financement!$D$10/12</f>
        <v>477.00477353441858</v>
      </c>
      <c r="N16" s="152">
        <f>Financement!$D$10/12</f>
        <v>477.00477353441858</v>
      </c>
    </row>
    <row r="17" spans="2:14" ht="15" customHeight="1">
      <c r="B17" s="153" t="s">
        <v>131</v>
      </c>
      <c r="C17" s="70">
        <f>Charges!$C$14/12</f>
        <v>833.33333333333337</v>
      </c>
      <c r="D17" s="70">
        <f>Charges!$C$14/12</f>
        <v>833.33333333333337</v>
      </c>
      <c r="E17" s="70">
        <f>Charges!$C$14/12</f>
        <v>833.33333333333337</v>
      </c>
      <c r="F17" s="70">
        <f>Charges!$C$14/12</f>
        <v>833.33333333333337</v>
      </c>
      <c r="G17" s="70">
        <f>Charges!$C$14/12</f>
        <v>833.33333333333337</v>
      </c>
      <c r="H17" s="70">
        <f>Charges!$C$14/12</f>
        <v>833.33333333333337</v>
      </c>
      <c r="I17" s="70">
        <f>Charges!$C$14/12</f>
        <v>833.33333333333337</v>
      </c>
      <c r="J17" s="70">
        <f>Charges!$C$14/12</f>
        <v>833.33333333333337</v>
      </c>
      <c r="K17" s="70">
        <f>Charges!$C$14/12</f>
        <v>833.33333333333337</v>
      </c>
      <c r="L17" s="70">
        <f>Charges!$C$14/12</f>
        <v>833.33333333333337</v>
      </c>
      <c r="M17" s="70">
        <f>Charges!$C$14/12</f>
        <v>833.33333333333337</v>
      </c>
      <c r="N17" s="70">
        <f>Charges!$C$14/12</f>
        <v>833.33333333333337</v>
      </c>
    </row>
    <row r="18" spans="2:14" ht="15" customHeight="1">
      <c r="B18" s="153" t="s">
        <v>132</v>
      </c>
      <c r="C18" s="70">
        <f>Charges!$C$3/12</f>
        <v>2340.9775606666667</v>
      </c>
      <c r="D18" s="70">
        <f>Charges!$C$3/12</f>
        <v>2340.9775606666667</v>
      </c>
      <c r="E18" s="70">
        <f>Charges!$C$3/12</f>
        <v>2340.9775606666667</v>
      </c>
      <c r="F18" s="70">
        <f>Charges!$C$3/12</f>
        <v>2340.9775606666667</v>
      </c>
      <c r="G18" s="70">
        <f>Charges!$C$3/12</f>
        <v>2340.9775606666667</v>
      </c>
      <c r="H18" s="70">
        <f>Charges!$C$3/12</f>
        <v>2340.9775606666667</v>
      </c>
      <c r="I18" s="70">
        <f>Charges!$C$3/12</f>
        <v>2340.9775606666667</v>
      </c>
      <c r="J18" s="70">
        <f>Charges!$C$3/12</f>
        <v>2340.9775606666667</v>
      </c>
      <c r="K18" s="70">
        <f>Charges!$C$3/12</f>
        <v>2340.9775606666667</v>
      </c>
      <c r="L18" s="70">
        <f>Charges!$C$3/12</f>
        <v>2340.9775606666667</v>
      </c>
      <c r="M18" s="70">
        <f>Charges!$C$3/12</f>
        <v>2340.9775606666667</v>
      </c>
      <c r="N18" s="70">
        <f>Charges!$C$3/12</f>
        <v>2340.9775606666667</v>
      </c>
    </row>
    <row r="19" spans="2:14" ht="15" customHeight="1">
      <c r="B19" s="218" t="s">
        <v>133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</row>
    <row r="20" spans="2:14" ht="15" customHeight="1">
      <c r="B20" s="153" t="s">
        <v>134</v>
      </c>
      <c r="C20" s="70">
        <f>(Charges!$C$31+Charges!$C$52)/12</f>
        <v>4989.8733333333339</v>
      </c>
      <c r="D20" s="70">
        <f>(Charges!$C$31+Charges!$C$52)/12</f>
        <v>4989.8733333333339</v>
      </c>
      <c r="E20" s="70">
        <f>(Charges!$C$31+Charges!$C$52)/12</f>
        <v>4989.8733333333339</v>
      </c>
      <c r="F20" s="70">
        <f>(Charges!$C$31+Charges!$C$52)/12</f>
        <v>4989.8733333333339</v>
      </c>
      <c r="G20" s="70">
        <f>(Charges!$C$31+Charges!$C$52)/12</f>
        <v>4989.8733333333339</v>
      </c>
      <c r="H20" s="70">
        <f>(Charges!$C$31+Charges!$C$52)/12</f>
        <v>4989.8733333333339</v>
      </c>
      <c r="I20" s="70">
        <f>(Charges!$C$31+Charges!$C$52)/12</f>
        <v>4989.8733333333339</v>
      </c>
      <c r="J20" s="70">
        <f>(Charges!$C$31+Charges!$C$52)/12</f>
        <v>4989.8733333333339</v>
      </c>
      <c r="K20" s="70">
        <f>(Charges!$C$31+Charges!$C$52)/12</f>
        <v>4989.8733333333339</v>
      </c>
      <c r="L20" s="70">
        <f>(Charges!$C$31+Charges!$C$52)/12</f>
        <v>4989.8733333333339</v>
      </c>
      <c r="M20" s="70">
        <f>(Charges!$C$31+Charges!$C$52)/12</f>
        <v>4989.8733333333339</v>
      </c>
      <c r="N20" s="70">
        <f>(Charges!$C$31+Charges!$C$52)/12</f>
        <v>4989.8733333333339</v>
      </c>
    </row>
    <row r="21" spans="2:14" ht="15" customHeight="1">
      <c r="B21" s="153" t="s">
        <v>135</v>
      </c>
      <c r="C21" s="70">
        <f>(Charges!$C$42+Charges!$C$55+Charges!$C$49+Charges!$C$59)/12</f>
        <v>2737.2472466666673</v>
      </c>
      <c r="D21" s="70">
        <f>(Charges!$C$42+Charges!$C$55+Charges!$C$49+Charges!$C$59)/12</f>
        <v>2737.2472466666673</v>
      </c>
      <c r="E21" s="70">
        <f>(Charges!$C$42+Charges!$C$55+Charges!$C$49+Charges!$C$59)/12</f>
        <v>2737.2472466666673</v>
      </c>
      <c r="F21" s="70">
        <f>(Charges!$C$42+Charges!$C$55+Charges!$C$49+Charges!$C$59)/12</f>
        <v>2737.2472466666673</v>
      </c>
      <c r="G21" s="70">
        <f>(Charges!$C$42+Charges!$C$55+Charges!$C$49+Charges!$C$59)/12</f>
        <v>2737.2472466666673</v>
      </c>
      <c r="H21" s="70">
        <f>(Charges!$C$42+Charges!$C$55+Charges!$C$49+Charges!$C$59)/12</f>
        <v>2737.2472466666673</v>
      </c>
      <c r="I21" s="70">
        <f>(Charges!$C$42+Charges!$C$55+Charges!$C$49+Charges!$C$59)/12</f>
        <v>2737.2472466666673</v>
      </c>
      <c r="J21" s="70">
        <f>(Charges!$C$42+Charges!$C$55+Charges!$C$49+Charges!$C$59)/12</f>
        <v>2737.2472466666673</v>
      </c>
      <c r="K21" s="70">
        <f>(Charges!$C$42+Charges!$C$55+Charges!$C$49+Charges!$C$59)/12</f>
        <v>2737.2472466666673</v>
      </c>
      <c r="L21" s="70">
        <f>(Charges!$C$42+Charges!$C$55+Charges!$C$49+Charges!$C$59)/12</f>
        <v>2737.2472466666673</v>
      </c>
      <c r="M21" s="70">
        <f>(Charges!$C$42+Charges!$C$55+Charges!$C$49+Charges!$C$59)/12</f>
        <v>2737.2472466666673</v>
      </c>
      <c r="N21" s="70">
        <f>(Charges!$C$42+Charges!$C$55+Charges!$C$49+Charges!$C$59)/12</f>
        <v>2737.2472466666673</v>
      </c>
    </row>
    <row r="22" spans="2:14" ht="15" customHeight="1">
      <c r="B22" s="159" t="s">
        <v>136</v>
      </c>
      <c r="C22" s="160">
        <f>C20+C21</f>
        <v>7727.1205800000007</v>
      </c>
      <c r="D22" s="160">
        <f t="shared" ref="D22:N22" si="1">D20+D21</f>
        <v>7727.1205800000007</v>
      </c>
      <c r="E22" s="160">
        <f t="shared" si="1"/>
        <v>7727.1205800000007</v>
      </c>
      <c r="F22" s="160">
        <f t="shared" si="1"/>
        <v>7727.1205800000007</v>
      </c>
      <c r="G22" s="160">
        <f t="shared" si="1"/>
        <v>7727.1205800000007</v>
      </c>
      <c r="H22" s="160">
        <f t="shared" si="1"/>
        <v>7727.1205800000007</v>
      </c>
      <c r="I22" s="160">
        <f t="shared" si="1"/>
        <v>7727.1205800000007</v>
      </c>
      <c r="J22" s="160">
        <f t="shared" si="1"/>
        <v>7727.1205800000007</v>
      </c>
      <c r="K22" s="160">
        <f t="shared" si="1"/>
        <v>7727.1205800000007</v>
      </c>
      <c r="L22" s="160">
        <f t="shared" si="1"/>
        <v>7727.1205800000007</v>
      </c>
      <c r="M22" s="160">
        <f t="shared" si="1"/>
        <v>7727.1205800000007</v>
      </c>
      <c r="N22" s="160">
        <f t="shared" si="1"/>
        <v>7727.1205800000007</v>
      </c>
    </row>
    <row r="23" spans="2:14" ht="15" customHeight="1">
      <c r="B23" s="158" t="s">
        <v>137</v>
      </c>
      <c r="C23" s="161">
        <f>Charges!$C$9/12</f>
        <v>41.666666666666664</v>
      </c>
      <c r="D23" s="161">
        <f>Charges!$C$9/12</f>
        <v>41.666666666666664</v>
      </c>
      <c r="E23" s="161">
        <f>Charges!$C$9/12</f>
        <v>41.666666666666664</v>
      </c>
      <c r="F23" s="161">
        <f>Charges!$C$9/12</f>
        <v>41.666666666666664</v>
      </c>
      <c r="G23" s="161">
        <f>Charges!$C$9/12</f>
        <v>41.666666666666664</v>
      </c>
      <c r="H23" s="161">
        <f>Charges!$C$9/12</f>
        <v>41.666666666666664</v>
      </c>
      <c r="I23" s="161">
        <f>Charges!$C$9/12</f>
        <v>41.666666666666664</v>
      </c>
      <c r="J23" s="161">
        <f>Charges!$C$9/12</f>
        <v>41.666666666666664</v>
      </c>
      <c r="K23" s="161">
        <f>Charges!$C$9/12</f>
        <v>41.666666666666664</v>
      </c>
      <c r="L23" s="161">
        <f>Charges!$C$9/12</f>
        <v>41.666666666666664</v>
      </c>
      <c r="M23" s="161">
        <f>Charges!$C$9/12</f>
        <v>41.666666666666664</v>
      </c>
      <c r="N23" s="161">
        <f>Charges!$C$9/12</f>
        <v>41.666666666666664</v>
      </c>
    </row>
    <row r="24" spans="2:14" ht="15" customHeight="1">
      <c r="B24" s="159" t="s">
        <v>138</v>
      </c>
      <c r="C24" s="162">
        <f>-(C14+C15+C16+C17+C18+C19+C22+C23)</f>
        <v>-40206.102914201081</v>
      </c>
      <c r="D24" s="162">
        <f t="shared" ref="D24:N24" si="2">-(D14+D15+D16+D17+D18+D19+D22+D23)</f>
        <v>-11420.102914201087</v>
      </c>
      <c r="E24" s="162">
        <f t="shared" si="2"/>
        <v>-11420.102914201087</v>
      </c>
      <c r="F24" s="162">
        <f t="shared" si="2"/>
        <v>-11420.102914201087</v>
      </c>
      <c r="G24" s="162">
        <f t="shared" si="2"/>
        <v>-11420.102914201087</v>
      </c>
      <c r="H24" s="162">
        <f t="shared" si="2"/>
        <v>-11420.102914201087</v>
      </c>
      <c r="I24" s="162">
        <f t="shared" si="2"/>
        <v>-11420.102914201087</v>
      </c>
      <c r="J24" s="162">
        <f t="shared" si="2"/>
        <v>-11420.102914201087</v>
      </c>
      <c r="K24" s="162">
        <f t="shared" si="2"/>
        <v>-11420.102914201087</v>
      </c>
      <c r="L24" s="162">
        <f t="shared" si="2"/>
        <v>-11420.102914201087</v>
      </c>
      <c r="M24" s="162">
        <f t="shared" si="2"/>
        <v>-11420.102914201087</v>
      </c>
      <c r="N24" s="162">
        <f t="shared" si="2"/>
        <v>-11420.102914201087</v>
      </c>
    </row>
    <row r="25" spans="2:14" ht="15" customHeight="1">
      <c r="B25" s="159" t="s">
        <v>139</v>
      </c>
      <c r="C25" s="163">
        <f>C6+C11</f>
        <v>41500</v>
      </c>
      <c r="D25" s="163">
        <f t="shared" ref="D25:N25" si="3">D6+D11</f>
        <v>6500</v>
      </c>
      <c r="E25" s="163">
        <f t="shared" si="3"/>
        <v>6500</v>
      </c>
      <c r="F25" s="163">
        <f t="shared" si="3"/>
        <v>6500</v>
      </c>
      <c r="G25" s="163">
        <f t="shared" si="3"/>
        <v>6500</v>
      </c>
      <c r="H25" s="163">
        <f t="shared" si="3"/>
        <v>6500</v>
      </c>
      <c r="I25" s="163">
        <f t="shared" si="3"/>
        <v>6500</v>
      </c>
      <c r="J25" s="163">
        <f t="shared" si="3"/>
        <v>6500</v>
      </c>
      <c r="K25" s="163">
        <f t="shared" si="3"/>
        <v>6500</v>
      </c>
      <c r="L25" s="163">
        <f t="shared" si="3"/>
        <v>6500</v>
      </c>
      <c r="M25" s="163">
        <f t="shared" si="3"/>
        <v>6500</v>
      </c>
      <c r="N25" s="163">
        <f t="shared" si="3"/>
        <v>6500</v>
      </c>
    </row>
    <row r="26" spans="2:14" ht="15" customHeight="1">
      <c r="B26" s="151" t="s">
        <v>140</v>
      </c>
      <c r="C26" s="164"/>
      <c r="D26" s="164">
        <f>C27</f>
        <v>1293.8970857989189</v>
      </c>
      <c r="E26" s="164">
        <f t="shared" ref="E26:N26" si="4">D27</f>
        <v>-4920.1029142010866</v>
      </c>
      <c r="F26" s="164">
        <f t="shared" si="4"/>
        <v>-4920.1029142010866</v>
      </c>
      <c r="G26" s="164">
        <f t="shared" si="4"/>
        <v>-4920.1029142010866</v>
      </c>
      <c r="H26" s="164">
        <f t="shared" si="4"/>
        <v>-4920.1029142010866</v>
      </c>
      <c r="I26" s="164">
        <f t="shared" si="4"/>
        <v>-4920.1029142010866</v>
      </c>
      <c r="J26" s="164">
        <f t="shared" si="4"/>
        <v>-4920.1029142010866</v>
      </c>
      <c r="K26" s="164">
        <f t="shared" si="4"/>
        <v>-4920.1029142010866</v>
      </c>
      <c r="L26" s="164">
        <f t="shared" si="4"/>
        <v>-4920.1029142010866</v>
      </c>
      <c r="M26" s="164">
        <f t="shared" si="4"/>
        <v>-4920.1029142010866</v>
      </c>
      <c r="N26" s="164">
        <f t="shared" si="4"/>
        <v>-4920.1029142010866</v>
      </c>
    </row>
    <row r="27" spans="2:14" ht="15" customHeight="1">
      <c r="B27" s="158" t="s">
        <v>141</v>
      </c>
      <c r="C27" s="161">
        <f>C25+C24</f>
        <v>1293.8970857989189</v>
      </c>
      <c r="D27" s="161">
        <f t="shared" ref="D27:N27" si="5">D25+D24</f>
        <v>-4920.1029142010866</v>
      </c>
      <c r="E27" s="161">
        <f t="shared" si="5"/>
        <v>-4920.1029142010866</v>
      </c>
      <c r="F27" s="161">
        <f t="shared" si="5"/>
        <v>-4920.1029142010866</v>
      </c>
      <c r="G27" s="161">
        <f t="shared" si="5"/>
        <v>-4920.1029142010866</v>
      </c>
      <c r="H27" s="161">
        <f t="shared" si="5"/>
        <v>-4920.1029142010866</v>
      </c>
      <c r="I27" s="161">
        <f t="shared" si="5"/>
        <v>-4920.1029142010866</v>
      </c>
      <c r="J27" s="161">
        <f t="shared" si="5"/>
        <v>-4920.1029142010866</v>
      </c>
      <c r="K27" s="161">
        <f t="shared" si="5"/>
        <v>-4920.1029142010866</v>
      </c>
      <c r="L27" s="161">
        <f t="shared" si="5"/>
        <v>-4920.1029142010866</v>
      </c>
      <c r="M27" s="161">
        <f t="shared" si="5"/>
        <v>-4920.1029142010866</v>
      </c>
      <c r="N27" s="161">
        <f t="shared" si="5"/>
        <v>-4920.1029142010866</v>
      </c>
    </row>
    <row r="28" spans="2:14" ht="15" customHeight="1">
      <c r="B28" s="159" t="s">
        <v>142</v>
      </c>
      <c r="C28" s="165">
        <f>C27</f>
        <v>1293.8970857989189</v>
      </c>
      <c r="D28" s="165">
        <f>C28+D27</f>
        <v>-3626.2058284021678</v>
      </c>
      <c r="E28" s="165">
        <f t="shared" ref="E28:N28" si="6">D28+E27</f>
        <v>-8546.3087426032544</v>
      </c>
      <c r="F28" s="165">
        <f t="shared" si="6"/>
        <v>-13466.411656804341</v>
      </c>
      <c r="G28" s="165">
        <f t="shared" si="6"/>
        <v>-18386.514571005428</v>
      </c>
      <c r="H28" s="165">
        <f t="shared" si="6"/>
        <v>-23306.617485206516</v>
      </c>
      <c r="I28" s="165">
        <f t="shared" si="6"/>
        <v>-28226.720399407604</v>
      </c>
      <c r="J28" s="165">
        <f t="shared" si="6"/>
        <v>-33146.823313608693</v>
      </c>
      <c r="K28" s="165">
        <f t="shared" si="6"/>
        <v>-38066.926227809781</v>
      </c>
      <c r="L28" s="165">
        <f t="shared" si="6"/>
        <v>-42987.02914201087</v>
      </c>
      <c r="M28" s="165">
        <f t="shared" si="6"/>
        <v>-47907.132056211958</v>
      </c>
      <c r="N28" s="165">
        <f t="shared" si="6"/>
        <v>-52827.234970413047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Immobilisations</vt:lpstr>
      <vt:lpstr>Financement</vt:lpstr>
      <vt:lpstr>Ventes</vt:lpstr>
      <vt:lpstr>Charges</vt:lpstr>
      <vt:lpstr>Compte de résultat</vt:lpstr>
      <vt:lpstr>Bilan prévisionelle</vt:lpstr>
      <vt:lpstr>Tableau trésorerie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guerineau pierre</dc:creator>
  <cp:lastModifiedBy>Evanne Jan</cp:lastModifiedBy>
  <dcterms:created xsi:type="dcterms:W3CDTF">2021-06-09T08:51:18Z</dcterms:created>
  <dcterms:modified xsi:type="dcterms:W3CDTF">2021-06-10T19:47:40Z</dcterms:modified>
</cp:coreProperties>
</file>